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defaultThemeVersion="124226"/>
  <bookViews>
    <workbookView xWindow="0" yWindow="24" windowWidth="22980" windowHeight="9264"/>
  </bookViews>
  <sheets>
    <sheet name="Titolo" sheetId="1" r:id="rId1"/>
    <sheet name="consumo ossigeno" sheetId="2" r:id="rId2"/>
    <sheet name="forza del vento su Marte" sheetId="6" r:id="rId3"/>
    <sheet name="forza del vento a Terra" sheetId="7" r:id="rId4"/>
    <sheet name="rovesciamento MAV" sheetId="3" r:id="rId5"/>
    <sheet name="g marziana" sheetId="13" r:id="rId6"/>
    <sheet name="temp. e velocità gas " sheetId="15" r:id="rId7"/>
    <sheet name="orbite" sheetId="12" r:id="rId8"/>
    <sheet name="riparazione HAB" sheetId="14" r:id="rId9"/>
  </sheets>
  <calcPr calcId="145621"/>
</workbook>
</file>

<file path=xl/calcChain.xml><?xml version="1.0" encoding="utf-8"?>
<calcChain xmlns="http://schemas.openxmlformats.org/spreadsheetml/2006/main">
  <c r="D9" i="2" l="1"/>
  <c r="D10" i="2"/>
  <c r="D8" i="2"/>
  <c r="C18" i="15" l="1"/>
  <c r="C17" i="15"/>
  <c r="C19" i="15" s="1"/>
  <c r="C15" i="15"/>
  <c r="E19" i="15" l="1"/>
  <c r="C20" i="15"/>
  <c r="E20" i="15" s="1"/>
  <c r="C5" i="2"/>
  <c r="I9" i="14" l="1"/>
  <c r="N8" i="14"/>
  <c r="I12" i="14" s="1"/>
  <c r="I11" i="14" l="1"/>
  <c r="I5" i="14"/>
  <c r="I7" i="14" s="1"/>
  <c r="I13" i="14" s="1"/>
  <c r="I6" i="14"/>
  <c r="D9" i="13"/>
  <c r="I14" i="14" l="1"/>
  <c r="N13" i="14"/>
  <c r="K21" i="13"/>
  <c r="K23" i="13"/>
  <c r="K20" i="13"/>
  <c r="K22" i="13"/>
  <c r="L40" i="12" l="1"/>
  <c r="L39" i="12"/>
  <c r="L38" i="12"/>
  <c r="L37" i="12"/>
  <c r="L36" i="12"/>
  <c r="L35" i="12"/>
  <c r="L34" i="12"/>
  <c r="L33" i="12"/>
  <c r="L32" i="12"/>
  <c r="L31" i="12"/>
  <c r="L30" i="12"/>
  <c r="L29" i="12"/>
  <c r="L28" i="12"/>
  <c r="L27" i="12"/>
  <c r="L26" i="12"/>
  <c r="L25" i="12"/>
  <c r="L24" i="12"/>
  <c r="K23" i="12"/>
  <c r="C11" i="12"/>
  <c r="M39" i="12" l="1"/>
  <c r="N39" i="12" s="1"/>
  <c r="C15" i="12"/>
  <c r="C16" i="12" s="1"/>
  <c r="M23" i="12"/>
  <c r="N23" i="12" s="1"/>
  <c r="M24" i="12"/>
  <c r="N24" i="12" s="1"/>
  <c r="M26" i="12"/>
  <c r="N26" i="12" s="1"/>
  <c r="M28" i="12"/>
  <c r="N28" i="12" s="1"/>
  <c r="M30" i="12"/>
  <c r="N30" i="12" s="1"/>
  <c r="M32" i="12"/>
  <c r="N32" i="12" s="1"/>
  <c r="M34" i="12"/>
  <c r="N34" i="12" s="1"/>
  <c r="M36" i="12"/>
  <c r="N36" i="12" s="1"/>
  <c r="M38" i="12"/>
  <c r="N38" i="12" s="1"/>
  <c r="M40" i="12"/>
  <c r="N40" i="12" s="1"/>
  <c r="M25" i="12"/>
  <c r="N25" i="12" s="1"/>
  <c r="M27" i="12"/>
  <c r="N27" i="12" s="1"/>
  <c r="M29" i="12"/>
  <c r="N29" i="12" s="1"/>
  <c r="M31" i="12"/>
  <c r="N31" i="12" s="1"/>
  <c r="M33" i="12"/>
  <c r="N33" i="12" s="1"/>
  <c r="M35" i="12"/>
  <c r="N35" i="12" s="1"/>
  <c r="M37" i="12"/>
  <c r="N37" i="12" s="1"/>
  <c r="C17" i="12" l="1"/>
  <c r="C19" i="12" s="1"/>
  <c r="C18" i="12" l="1"/>
  <c r="G10" i="7" l="1"/>
  <c r="G9" i="7"/>
  <c r="G7" i="7"/>
  <c r="C11" i="6"/>
  <c r="G9" i="6"/>
  <c r="I9" i="6" s="1"/>
  <c r="G10" i="6"/>
  <c r="G7" i="6"/>
  <c r="C11" i="7" l="1"/>
  <c r="G11" i="7" s="1"/>
  <c r="C17" i="7" s="1"/>
  <c r="I9" i="7"/>
  <c r="G11" i="6"/>
  <c r="C11" i="3"/>
  <c r="V28" i="3" s="1"/>
  <c r="C14" i="7" l="1"/>
  <c r="C14" i="6"/>
  <c r="C17" i="6"/>
  <c r="C8" i="3" s="1"/>
  <c r="C17" i="3" s="1"/>
  <c r="C14" i="3" l="1"/>
  <c r="C10" i="2"/>
  <c r="E9" i="2"/>
  <c r="E8" i="2"/>
  <c r="E10" i="2" s="1"/>
  <c r="C15" i="3" l="1"/>
  <c r="C16" i="3"/>
</calcChain>
</file>

<file path=xl/sharedStrings.xml><?xml version="1.0" encoding="utf-8"?>
<sst xmlns="http://schemas.openxmlformats.org/spreadsheetml/2006/main" count="284" uniqueCount="194">
  <si>
    <t>Autore</t>
  </si>
  <si>
    <t>Hume</t>
  </si>
  <si>
    <t>CONSUMO OSSIGENO</t>
  </si>
  <si>
    <t>Da tabella VO2</t>
  </si>
  <si>
    <t>consumo medio a riposo</t>
  </si>
  <si>
    <t>consumo medio sotto sforzo</t>
  </si>
  <si>
    <t>l/min</t>
  </si>
  <si>
    <t>g O2/h</t>
  </si>
  <si>
    <t>kg O2/anno</t>
  </si>
  <si>
    <t>consumo medio ponderato</t>
  </si>
  <si>
    <t>frazione tempo attività</t>
  </si>
  <si>
    <t>Pa</t>
  </si>
  <si>
    <t>massa MAV</t>
  </si>
  <si>
    <t>m/s^2</t>
  </si>
  <si>
    <t>accelerazione di gravità marziana</t>
  </si>
  <si>
    <t>m</t>
  </si>
  <si>
    <t>altezza centro di pressione del vento rispetto al suolo</t>
  </si>
  <si>
    <t>P</t>
  </si>
  <si>
    <t>N</t>
  </si>
  <si>
    <t>Nota : in giallo i dati</t>
  </si>
  <si>
    <t>M</t>
  </si>
  <si>
    <t>F</t>
  </si>
  <si>
    <t>reazione verticale su base sinistra</t>
  </si>
  <si>
    <t>reazione verticale su base destra</t>
  </si>
  <si>
    <r>
      <t>F</t>
    </r>
    <r>
      <rPr>
        <vertAlign val="subscript"/>
        <sz val="11"/>
        <color theme="1"/>
        <rFont val="Calibri"/>
        <family val="2"/>
        <scheme val="minor"/>
      </rPr>
      <t>lim</t>
    </r>
  </si>
  <si>
    <t>reazione orizzontale su entrambe le basi</t>
  </si>
  <si>
    <r>
      <t>x</t>
    </r>
    <r>
      <rPr>
        <vertAlign val="subscript"/>
        <sz val="11"/>
        <color theme="1"/>
        <rFont val="Calibri"/>
        <family val="2"/>
        <scheme val="minor"/>
      </rPr>
      <t>b</t>
    </r>
  </si>
  <si>
    <r>
      <t>y</t>
    </r>
    <r>
      <rPr>
        <vertAlign val="subscript"/>
        <sz val="11"/>
        <color theme="1"/>
        <rFont val="Calibri"/>
        <family val="2"/>
        <scheme val="minor"/>
      </rPr>
      <t>f</t>
    </r>
  </si>
  <si>
    <t>F/2</t>
  </si>
  <si>
    <t>p</t>
  </si>
  <si>
    <t>Equilibrio alla rotazione</t>
  </si>
  <si>
    <t>dalla quale si ha:</t>
  </si>
  <si>
    <t xml:space="preserve">E dunque </t>
  </si>
  <si>
    <t>frazione del peso p che si scarica sulla base sinistra</t>
  </si>
  <si>
    <t>Equilibrio sulle basi delle gambe senza rovesciamento</t>
  </si>
  <si>
    <t>Equilibrio del MAV</t>
  </si>
  <si>
    <r>
      <t>g</t>
    </r>
    <r>
      <rPr>
        <vertAlign val="subscript"/>
        <sz val="11"/>
        <color theme="1"/>
        <rFont val="Calibri"/>
        <family val="2"/>
        <scheme val="minor"/>
      </rPr>
      <t>m</t>
    </r>
  </si>
  <si>
    <t>distanza base piede MAV da asse verticale baricentrico del MAV</t>
  </si>
  <si>
    <t>FORZA DEL VENTO DURANTE LA TEMPESTA MARZIANA</t>
  </si>
  <si>
    <t>v</t>
  </si>
  <si>
    <t>km/h</t>
  </si>
  <si>
    <t>velocità vento</t>
  </si>
  <si>
    <t>m/s</t>
  </si>
  <si>
    <t>d</t>
  </si>
  <si>
    <t>diametro MAV</t>
  </si>
  <si>
    <t>Il MAV viene schematizzato come un cilindro verticale che riceve la spinta del vento orizzontale</t>
  </si>
  <si>
    <t>PM</t>
  </si>
  <si>
    <t>peso molecolare medio atmosfera marziana</t>
  </si>
  <si>
    <t>kg/kmole</t>
  </si>
  <si>
    <t xml:space="preserve">Ipotesi </t>
  </si>
  <si>
    <t>Si assume che l'atmosfera di Marte sia costituita  al 100% da CO2( in realtà è il 95%)</t>
  </si>
  <si>
    <t>ρ</t>
  </si>
  <si>
    <t>densità atmosfera</t>
  </si>
  <si>
    <t>pressione atmosfera</t>
  </si>
  <si>
    <t>T</t>
  </si>
  <si>
    <t>temperatura</t>
  </si>
  <si>
    <t>°C</t>
  </si>
  <si>
    <t>°K</t>
  </si>
  <si>
    <t>atm</t>
  </si>
  <si>
    <t>kg/m^3</t>
  </si>
  <si>
    <t>g/l</t>
  </si>
  <si>
    <t>ata</t>
  </si>
  <si>
    <t>kg/(m*s)</t>
  </si>
  <si>
    <t>viscosità CO2 a T e P</t>
  </si>
  <si>
    <t>μ</t>
  </si>
  <si>
    <t>Re</t>
  </si>
  <si>
    <t>adim</t>
  </si>
  <si>
    <t>numero di Reynolds</t>
  </si>
  <si>
    <t>Coeff. di resistenza cilindro</t>
  </si>
  <si>
    <t>inserire diagramma mio se esiste</t>
  </si>
  <si>
    <t>h</t>
  </si>
  <si>
    <t>altezza cilindro che simula il MAV</t>
  </si>
  <si>
    <t xml:space="preserve">Commento </t>
  </si>
  <si>
    <t xml:space="preserve">La forza F è molto piccola, causa la densità piccolissima dell'atmosfera. </t>
  </si>
  <si>
    <t>FORZA DEL VENTO DURANTE LA TEMPESTA TERRESTRE</t>
  </si>
  <si>
    <t>k</t>
  </si>
  <si>
    <t>kp</t>
  </si>
  <si>
    <t>(1-k)p</t>
  </si>
  <si>
    <t xml:space="preserve"> (1-k)p</t>
  </si>
  <si>
    <t>libro pag 340</t>
  </si>
  <si>
    <t>Wikipedia</t>
  </si>
  <si>
    <t>mia stima</t>
  </si>
  <si>
    <t>Cr</t>
  </si>
  <si>
    <t>da SHEET forza del vento su Marte</t>
  </si>
  <si>
    <t>g</t>
  </si>
  <si>
    <t>m^3/(kg*s^2)</t>
  </si>
  <si>
    <t>costante gravitazione universale</t>
  </si>
  <si>
    <t>kg</t>
  </si>
  <si>
    <t>massa Marte</t>
  </si>
  <si>
    <t>rMARTE</t>
  </si>
  <si>
    <t>Rotta MAV circolare tangente a parabola di Hermes nel suo vertice</t>
  </si>
  <si>
    <t>raggio Marte</t>
  </si>
  <si>
    <t>quota di MAV sopra Marte</t>
  </si>
  <si>
    <t>l/2</t>
  </si>
  <si>
    <t>distanza di Marte dal vertice della parabola</t>
  </si>
  <si>
    <r>
      <t>v</t>
    </r>
    <r>
      <rPr>
        <vertAlign val="subscript"/>
        <sz val="10"/>
        <rFont val="Arial"/>
        <family val="2"/>
      </rPr>
      <t>MAV</t>
    </r>
  </si>
  <si>
    <t>velocità di MAV</t>
  </si>
  <si>
    <r>
      <t>v</t>
    </r>
    <r>
      <rPr>
        <vertAlign val="subscript"/>
        <sz val="10"/>
        <rFont val="Arial"/>
        <family val="2"/>
      </rPr>
      <t>H</t>
    </r>
  </si>
  <si>
    <r>
      <t>Δv = v</t>
    </r>
    <r>
      <rPr>
        <vertAlign val="subscript"/>
        <sz val="10"/>
        <rFont val="Arial"/>
        <family val="2"/>
      </rPr>
      <t>H</t>
    </r>
    <r>
      <rPr>
        <sz val="10"/>
        <rFont val="Arial"/>
        <family val="2"/>
      </rPr>
      <t xml:space="preserve"> - v</t>
    </r>
    <r>
      <rPr>
        <vertAlign val="subscript"/>
        <sz val="10"/>
        <rFont val="Arial"/>
        <family val="2"/>
      </rPr>
      <t>MAV</t>
    </r>
  </si>
  <si>
    <r>
      <t>v</t>
    </r>
    <r>
      <rPr>
        <vertAlign val="subscript"/>
        <sz val="10"/>
        <rFont val="Arial"/>
        <family val="2"/>
      </rPr>
      <t>H</t>
    </r>
    <r>
      <rPr>
        <sz val="10"/>
        <rFont val="Arial"/>
        <family val="2"/>
      </rPr>
      <t>/v</t>
    </r>
    <r>
      <rPr>
        <vertAlign val="subscript"/>
        <sz val="10"/>
        <rFont val="Arial"/>
        <family val="2"/>
      </rPr>
      <t>MAV</t>
    </r>
  </si>
  <si>
    <t>VELOCITA' IN FUNZIONE DELLA DISTANZA SUL VERTICE DELLA PARABOLA DI HERMES</t>
  </si>
  <si>
    <t>quota</t>
  </si>
  <si>
    <t>D(m)</t>
  </si>
  <si>
    <r>
      <t>v</t>
    </r>
    <r>
      <rPr>
        <vertAlign val="subscript"/>
        <sz val="10"/>
        <rFont val="Arial"/>
        <family val="2"/>
      </rPr>
      <t xml:space="preserve">MAV </t>
    </r>
    <r>
      <rPr>
        <sz val="10"/>
        <rFont val="Arial"/>
        <family val="2"/>
      </rPr>
      <t>(m/s)</t>
    </r>
  </si>
  <si>
    <r>
      <t>v</t>
    </r>
    <r>
      <rPr>
        <vertAlign val="subscript"/>
        <sz val="10"/>
        <rFont val="Arial"/>
        <family val="2"/>
      </rPr>
      <t>H</t>
    </r>
    <r>
      <rPr>
        <sz val="10"/>
        <rFont val="Arial"/>
        <family val="2"/>
      </rPr>
      <t xml:space="preserve"> (m/s)</t>
    </r>
  </si>
  <si>
    <t>superficie pianeta</t>
  </si>
  <si>
    <t>velocità di Hermes nel vertice della parabola</t>
  </si>
  <si>
    <t>D = distanza dal centro di Marte</t>
  </si>
  <si>
    <t>D</t>
  </si>
  <si>
    <t>Moto parabolico della sonda Hermes attorno a Marte</t>
  </si>
  <si>
    <t>Rendez-vous di Hermes con MAV</t>
  </si>
  <si>
    <t>qorbita</t>
  </si>
  <si>
    <t>sulla superficie pianeta</t>
  </si>
  <si>
    <t>diametro foro</t>
  </si>
  <si>
    <t>pi</t>
  </si>
  <si>
    <t>pressione interna</t>
  </si>
  <si>
    <t>pe</t>
  </si>
  <si>
    <t>pressione esterna</t>
  </si>
  <si>
    <t>Δp</t>
  </si>
  <si>
    <t>delta pressione</t>
  </si>
  <si>
    <t>F = Δp*S</t>
  </si>
  <si>
    <t>m^2</t>
  </si>
  <si>
    <t>superficie del foro</t>
  </si>
  <si>
    <t>spinta sul telo di plastica</t>
  </si>
  <si>
    <t>t peso</t>
  </si>
  <si>
    <t>micron</t>
  </si>
  <si>
    <t>spessore telo plastica</t>
  </si>
  <si>
    <r>
      <t>σ</t>
    </r>
    <r>
      <rPr>
        <vertAlign val="subscript"/>
        <sz val="11"/>
        <color theme="1"/>
        <rFont val="Calibri"/>
        <family val="2"/>
      </rPr>
      <t>tr</t>
    </r>
  </si>
  <si>
    <t>carico di rottura a trazione del film di Polietilene caricato CaCO3</t>
  </si>
  <si>
    <t>S = πd^2/4</t>
  </si>
  <si>
    <r>
      <t>σ</t>
    </r>
    <r>
      <rPr>
        <vertAlign val="subscript"/>
        <sz val="11"/>
        <color theme="1"/>
        <rFont val="Calibri"/>
        <family val="2"/>
      </rPr>
      <t xml:space="preserve">t </t>
    </r>
    <r>
      <rPr>
        <sz val="11"/>
        <color theme="1"/>
        <rFont val="Calibri"/>
        <family val="2"/>
      </rPr>
      <t>= F/A</t>
    </r>
  </si>
  <si>
    <t>area del film sottoposta a trazione</t>
  </si>
  <si>
    <t>La respirazione aerobica avviene secondo la reazione:</t>
  </si>
  <si>
    <t>Ogni mole di O2 produce un ugual numero di moli di CO2 e  H2O</t>
  </si>
  <si>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r>
      <rPr>
        <sz val="12"/>
        <rFont val="Arial"/>
        <family val="2"/>
      </rPr>
      <t> + 6 O</t>
    </r>
    <r>
      <rPr>
        <vertAlign val="subscript"/>
        <sz val="12"/>
        <rFont val="Arial"/>
        <family val="2"/>
      </rPr>
      <t>2</t>
    </r>
    <r>
      <rPr>
        <sz val="12"/>
        <rFont val="Arial"/>
        <family val="2"/>
      </rPr>
      <t> + 38 ADP + 38 PO</t>
    </r>
    <r>
      <rPr>
        <vertAlign val="subscript"/>
        <sz val="12"/>
        <rFont val="Arial"/>
        <family val="2"/>
      </rPr>
      <t>4</t>
    </r>
    <r>
      <rPr>
        <vertAlign val="superscript"/>
        <sz val="12"/>
        <rFont val="Arial"/>
        <family val="2"/>
      </rPr>
      <t>3-</t>
    </r>
    <r>
      <rPr>
        <sz val="12"/>
        <rFont val="Arial"/>
        <family val="2"/>
      </rPr>
      <t> → 6 CO</t>
    </r>
    <r>
      <rPr>
        <vertAlign val="subscript"/>
        <sz val="12"/>
        <rFont val="Arial"/>
        <family val="2"/>
      </rPr>
      <t>2</t>
    </r>
    <r>
      <rPr>
        <sz val="12"/>
        <rFont val="Arial"/>
        <family val="2"/>
      </rPr>
      <t> + 6 H</t>
    </r>
    <r>
      <rPr>
        <vertAlign val="subscript"/>
        <sz val="12"/>
        <rFont val="Arial"/>
        <family val="2"/>
      </rPr>
      <t>2</t>
    </r>
    <r>
      <rPr>
        <sz val="12"/>
        <rFont val="Arial"/>
        <family val="2"/>
      </rPr>
      <t>O + 38 ATP</t>
    </r>
  </si>
  <si>
    <t>frazione tempo lavoro</t>
  </si>
  <si>
    <t>Kg</t>
  </si>
  <si>
    <t>peso MAV su Marte (si applica al baricentro)</t>
  </si>
  <si>
    <r>
      <rPr>
        <b/>
        <sz val="11"/>
        <color theme="1"/>
        <rFont val="Calibri"/>
        <family val="2"/>
        <scheme val="minor"/>
      </rPr>
      <t>Al limite del rovesciamento</t>
    </r>
    <r>
      <rPr>
        <sz val="11"/>
        <color theme="1"/>
        <rFont val="Calibri"/>
        <family val="2"/>
        <scheme val="minor"/>
      </rPr>
      <t xml:space="preserve"> ( rotazione antioraria del MAV) la reazione verticale sulla</t>
    </r>
  </si>
  <si>
    <r>
      <t>L'ossidazionee del glucosio( C</t>
    </r>
    <r>
      <rPr>
        <i/>
        <vertAlign val="subscript"/>
        <sz val="11"/>
        <color theme="1"/>
        <rFont val="Calibri"/>
        <family val="2"/>
        <scheme val="minor"/>
      </rPr>
      <t>6</t>
    </r>
    <r>
      <rPr>
        <i/>
        <sz val="11"/>
        <color theme="1"/>
        <rFont val="Calibri"/>
        <family val="2"/>
        <scheme val="minor"/>
      </rPr>
      <t>H</t>
    </r>
    <r>
      <rPr>
        <i/>
        <vertAlign val="subscript"/>
        <sz val="11"/>
        <color theme="1"/>
        <rFont val="Calibri"/>
        <family val="2"/>
        <scheme val="minor"/>
      </rPr>
      <t>12</t>
    </r>
    <r>
      <rPr>
        <i/>
        <sz val="11"/>
        <color theme="1"/>
        <rFont val="Calibri"/>
        <family val="2"/>
        <scheme val="minor"/>
      </rPr>
      <t>O</t>
    </r>
    <r>
      <rPr>
        <i/>
        <vertAlign val="subscript"/>
        <sz val="11"/>
        <color theme="1"/>
        <rFont val="Calibri"/>
        <family val="2"/>
        <scheme val="minor"/>
      </rPr>
      <t>6</t>
    </r>
    <r>
      <rPr>
        <i/>
        <sz val="11"/>
        <color theme="1"/>
        <rFont val="Calibri"/>
        <family val="2"/>
        <scheme val="minor"/>
      </rPr>
      <t>) produce energia necessaria all'organismo.</t>
    </r>
  </si>
  <si>
    <t xml:space="preserve">L'energia sviluppata viene immagazzinata nelle molecole di ATP ( Adenosina-trifosfato), </t>
  </si>
  <si>
    <t>ottenuta tramite conversione di ADP ( Adenosina-difosfato), a livello cellulare.</t>
  </si>
  <si>
    <t>che si trova in orbita circolare bassa</t>
  </si>
  <si>
    <t>A = πDh</t>
  </si>
  <si>
    <t>ROVESCIAMENTO MAV CAUSATO DAL VENTO MARZIANO?</t>
  </si>
  <si>
    <t xml:space="preserve">TITOLO: </t>
  </si>
  <si>
    <t>RIPARAZIONE FORO NELL' HAB</t>
  </si>
  <si>
    <t>spinta del vento (si applica sul centro di pressione del MAV)</t>
  </si>
  <si>
    <t>sforzo di trazione sul film, prodotto dalla spinta F</t>
  </si>
  <si>
    <t>CALCOLO ORBITE</t>
  </si>
  <si>
    <t>CALCOLO TEMPERATURA ADIABATICA DI COMBUSTIONE PER PROPULSIONE DEL MAV E VELOCITA' DEI GAS IN USCITA</t>
  </si>
  <si>
    <t>Metano e ossigeno liquidi reagiscono formando bisssido di carbonio ed acqua gassosi a t = 25 ° C</t>
  </si>
  <si>
    <t>CH4(l) +2 O2(l) = CO2(g) + 2H2O(g)</t>
  </si>
  <si>
    <t>Bilancio termico della reazione di combustione adiabatico (senza scambio di calore con l'ambiente)</t>
  </si>
  <si>
    <r>
      <rPr>
        <sz val="10"/>
        <rFont val="Calibri"/>
        <family val="2"/>
      </rPr>
      <t>ΔH</t>
    </r>
    <r>
      <rPr>
        <sz val="10"/>
        <rFont val="Arial"/>
        <family val="2"/>
      </rPr>
      <t xml:space="preserve"> formazione</t>
    </r>
  </si>
  <si>
    <t>Cpgas</t>
  </si>
  <si>
    <t>Cpliq</t>
  </si>
  <si>
    <t>Tc</t>
  </si>
  <si>
    <t>Supponiamo di avere disponibili nei rispettivi serbatoi metano ed ossigeno liquidi in prossimità della rispettiva temperatura critica</t>
  </si>
  <si>
    <t>(kJ/mole)</t>
  </si>
  <si>
    <t>(kJ/mole °K)</t>
  </si>
  <si>
    <t>( ° C)</t>
  </si>
  <si>
    <t>Il bilancio termico si imposta immaginando di portare i due liquidi alla temperatura standard di reazione( 25° C) ottenendo CO2 e H2O gassosi</t>
  </si>
  <si>
    <t xml:space="preserve">CH4(l) </t>
  </si>
  <si>
    <t>(come da reazione sopra) e poi portare questa miscela gassosa alla temperatura adiabatica. Il calore totale necessario eguaglia il calore di reazione</t>
  </si>
  <si>
    <t>O2(l)</t>
  </si>
  <si>
    <t>(che è pari a  -ΔH reazione)</t>
  </si>
  <si>
    <t>CO2(g)</t>
  </si>
  <si>
    <t>Quindi:</t>
  </si>
  <si>
    <t>H2O(g)</t>
  </si>
  <si>
    <r>
      <t>Cp</t>
    </r>
    <r>
      <rPr>
        <vertAlign val="subscript"/>
        <sz val="10"/>
        <rFont val="Arial"/>
        <family val="2"/>
      </rPr>
      <t>CH4liq</t>
    </r>
    <r>
      <rPr>
        <sz val="10"/>
        <rFont val="Arial"/>
        <family val="2"/>
      </rPr>
      <t>(25 - Tc</t>
    </r>
    <r>
      <rPr>
        <vertAlign val="subscript"/>
        <sz val="10"/>
        <rFont val="Arial"/>
        <family val="2"/>
      </rPr>
      <t>CH4</t>
    </r>
    <r>
      <rPr>
        <sz val="10"/>
        <rFont val="Arial"/>
        <family val="2"/>
      </rPr>
      <t>) + 2*Cp</t>
    </r>
    <r>
      <rPr>
        <vertAlign val="subscript"/>
        <sz val="10"/>
        <rFont val="Arial"/>
        <family val="2"/>
      </rPr>
      <t>O2liq</t>
    </r>
    <r>
      <rPr>
        <sz val="10"/>
        <rFont val="Arial"/>
        <family val="2"/>
      </rPr>
      <t>(25 - Tc</t>
    </r>
    <r>
      <rPr>
        <vertAlign val="subscript"/>
        <sz val="10"/>
        <rFont val="Arial"/>
        <family val="2"/>
      </rPr>
      <t>O2</t>
    </r>
    <r>
      <rPr>
        <sz val="10"/>
        <rFont val="Arial"/>
        <family val="2"/>
      </rPr>
      <t>) + Cp</t>
    </r>
    <r>
      <rPr>
        <vertAlign val="subscript"/>
        <sz val="10"/>
        <rFont val="Arial"/>
        <family val="2"/>
      </rPr>
      <t>CO2gas</t>
    </r>
    <r>
      <rPr>
        <sz val="10"/>
        <rFont val="Arial"/>
        <family val="2"/>
      </rPr>
      <t>(Tad -25) + 2*Cp</t>
    </r>
    <r>
      <rPr>
        <vertAlign val="subscript"/>
        <sz val="10"/>
        <rFont val="Arial"/>
        <family val="2"/>
      </rPr>
      <t>H2Ogas</t>
    </r>
    <r>
      <rPr>
        <sz val="10"/>
        <rFont val="Arial"/>
        <family val="2"/>
      </rPr>
      <t>(Tad - 25 ) = - ΔH reazione</t>
    </r>
  </si>
  <si>
    <r>
      <rPr>
        <sz val="10"/>
        <rFont val="Calibri"/>
        <family val="2"/>
      </rPr>
      <t>ΔH</t>
    </r>
    <r>
      <rPr>
        <sz val="10"/>
        <rFont val="Arial"/>
        <family val="2"/>
      </rPr>
      <t xml:space="preserve"> reazione</t>
    </r>
  </si>
  <si>
    <t>Si ottiene una equazione di primo grado in funzione di Tad</t>
  </si>
  <si>
    <t xml:space="preserve"> a 25 ° C ,  riferito al grado di avanzamento che coincide con la CO2</t>
  </si>
  <si>
    <t>A</t>
  </si>
  <si>
    <t>kJ/mole</t>
  </si>
  <si>
    <t>Tad = 25 - (ΔH reazione + A)/B</t>
  </si>
  <si>
    <r>
      <t>A = Cp</t>
    </r>
    <r>
      <rPr>
        <vertAlign val="subscript"/>
        <sz val="10"/>
        <rFont val="Arial"/>
        <family val="2"/>
      </rPr>
      <t>CH4liq</t>
    </r>
    <r>
      <rPr>
        <sz val="10"/>
        <rFont val="Arial"/>
        <family val="2"/>
      </rPr>
      <t>(25 - Tc</t>
    </r>
    <r>
      <rPr>
        <vertAlign val="subscript"/>
        <sz val="10"/>
        <rFont val="Arial"/>
        <family val="2"/>
      </rPr>
      <t>CH4</t>
    </r>
    <r>
      <rPr>
        <sz val="10"/>
        <rFont val="Arial"/>
        <family val="2"/>
      </rPr>
      <t>) + 2*Cp</t>
    </r>
    <r>
      <rPr>
        <vertAlign val="subscript"/>
        <sz val="10"/>
        <rFont val="Arial"/>
        <family val="2"/>
      </rPr>
      <t>O2liq</t>
    </r>
    <r>
      <rPr>
        <sz val="10"/>
        <rFont val="Arial"/>
        <family val="2"/>
      </rPr>
      <t>(25 - Tc</t>
    </r>
    <r>
      <rPr>
        <vertAlign val="subscript"/>
        <sz val="10"/>
        <rFont val="Arial"/>
        <family val="2"/>
      </rPr>
      <t>O2</t>
    </r>
    <r>
      <rPr>
        <sz val="10"/>
        <rFont val="Arial"/>
        <family val="2"/>
      </rPr>
      <t>)</t>
    </r>
  </si>
  <si>
    <t>B</t>
  </si>
  <si>
    <t>kJ/(mole °K)</t>
  </si>
  <si>
    <r>
      <t>B =  Cp</t>
    </r>
    <r>
      <rPr>
        <vertAlign val="subscript"/>
        <sz val="10"/>
        <rFont val="Arial"/>
        <family val="2"/>
      </rPr>
      <t>CO2gas</t>
    </r>
    <r>
      <rPr>
        <sz val="10"/>
        <rFont val="Arial"/>
        <family val="2"/>
      </rPr>
      <t xml:space="preserve"> + 2*Cp</t>
    </r>
    <r>
      <rPr>
        <vertAlign val="subscript"/>
        <sz val="10"/>
        <rFont val="Arial"/>
        <family val="2"/>
      </rPr>
      <t>H2Ogas</t>
    </r>
  </si>
  <si>
    <t>Tad ≡ Tg</t>
  </si>
  <si>
    <t>° K</t>
  </si>
  <si>
    <t>° C</t>
  </si>
  <si>
    <t>Vg</t>
  </si>
  <si>
    <t>In questo modo si determina la velocità di espulsione dei gas con la formula</t>
  </si>
  <si>
    <t>PM = peso molecolare medio dei gas espulsi</t>
  </si>
  <si>
    <t>Tg= temperatura gas (° K)</t>
  </si>
  <si>
    <t>Vg = velocità gas ( m/s)</t>
  </si>
  <si>
    <t xml:space="preserve">ACCELERAZIONE DI GRAVITA' MARZIANA </t>
  </si>
  <si>
    <t xml:space="preserve"> IN FUNZIONE DELLA DISTANZA DAL CENTRO DI MARTE</t>
  </si>
  <si>
    <t xml:space="preserve">base destra è nulla. Questo avviene quando k =1 vale a dire quando </t>
  </si>
  <si>
    <t>VO2 è il consumo massimo di ossigeno di un adulto ( riferito a:  T= 0 °C    P = 1 atm)</t>
  </si>
  <si>
    <t>SCIENZA VS FANTASCIENZA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</si>
</sst>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0.0"/>
    <numFmt numFmtId="165" formatCode="0.000"/>
    <numFmt numFmtId="166" formatCode="0.0000"/>
  </numFmts>
  <fonts count="27" x14ac:knownFonts="1">
    <font>
      <sz val="11"/>
      <color theme="1"/>
      <name val="Calibri"/>
      <family val="2"/>
      <scheme val="minor"/>
    </font>
    <font>
      <b/>
      <sz val="12"/>
      <color theme="1"/>
      <name val="Calibri"/>
      <family val="2"/>
      <scheme val="minor"/>
    </font>
    <font>
      <sz val="11"/>
      <color rgb="FFFF0000"/>
      <name val="Calibri"/>
      <family val="2"/>
      <scheme val="minor"/>
    </font>
    <font>
      <vertAlign val="subscript"/>
      <sz val="11"/>
      <color theme="1"/>
      <name val="Calibri"/>
      <family val="2"/>
      <scheme val="minor"/>
    </font>
    <font>
      <b/>
      <sz val="11"/>
      <color theme="1"/>
      <name val="Calibri"/>
      <family val="2"/>
      <scheme val="minor"/>
    </font>
    <font>
      <sz val="16"/>
      <color rgb="FF000000"/>
      <name val="Calibri"/>
      <family val="2"/>
      <scheme val="minor"/>
    </font>
    <font>
      <sz val="11"/>
      <color theme="1"/>
      <name val="Calibri"/>
      <family val="2"/>
    </font>
    <font>
      <b/>
      <sz val="11"/>
      <color rgb="FFFF0000"/>
      <name val="Calibri"/>
      <family val="2"/>
      <scheme val="minor"/>
    </font>
    <font>
      <sz val="11"/>
      <color theme="1"/>
      <name val="Calibri"/>
      <family val="2"/>
      <scheme val="minor"/>
    </font>
    <font>
      <sz val="10"/>
      <name val="Arial"/>
      <family val="2"/>
    </font>
    <font>
      <b/>
      <sz val="10"/>
      <name val="Arial"/>
      <family val="2"/>
    </font>
    <font>
      <vertAlign val="subscript"/>
      <sz val="10"/>
      <name val="Arial"/>
      <family val="2"/>
    </font>
    <font>
      <sz val="10"/>
      <color rgb="FFFF0000"/>
      <name val="Arial"/>
      <family val="2"/>
    </font>
    <font>
      <vertAlign val="subscript"/>
      <sz val="11"/>
      <color theme="1"/>
      <name val="Calibri"/>
      <family val="2"/>
    </font>
    <font>
      <sz val="18"/>
      <color theme="1"/>
      <name val="Calibri"/>
      <family val="2"/>
      <scheme val="minor"/>
    </font>
    <font>
      <i/>
      <sz val="11"/>
      <color theme="1"/>
      <name val="Calibri"/>
      <family val="2"/>
      <scheme val="minor"/>
    </font>
    <font>
      <b/>
      <sz val="11"/>
      <name val="Calibri"/>
      <family val="2"/>
      <scheme val="minor"/>
    </font>
    <font>
      <sz val="12"/>
      <name val="Arial"/>
      <family val="2"/>
    </font>
    <font>
      <vertAlign val="subscript"/>
      <sz val="12"/>
      <name val="Arial"/>
      <family val="2"/>
    </font>
    <font>
      <vertAlign val="superscript"/>
      <sz val="12"/>
      <name val="Arial"/>
      <family val="2"/>
    </font>
    <font>
      <sz val="11"/>
      <color rgb="FFC00000"/>
      <name val="Calibri"/>
      <family val="2"/>
      <scheme val="minor"/>
    </font>
    <font>
      <i/>
      <vertAlign val="subscript"/>
      <sz val="11"/>
      <color theme="1"/>
      <name val="Calibri"/>
      <family val="2"/>
      <scheme val="minor"/>
    </font>
    <font>
      <i/>
      <sz val="10"/>
      <name val="Arial"/>
      <family val="2"/>
    </font>
    <font>
      <sz val="10"/>
      <name val="Calibri"/>
      <family val="2"/>
    </font>
    <font>
      <i/>
      <sz val="14"/>
      <color rgb="FF0070C0"/>
      <name val="Arial"/>
      <family val="2"/>
    </font>
    <font>
      <b/>
      <sz val="14"/>
      <name val="Arial"/>
      <family val="2"/>
    </font>
    <font>
      <b/>
      <sz val="9"/>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0" fontId="9" fillId="0" borderId="0"/>
    <xf numFmtId="44" fontId="9" fillId="0" borderId="0" applyFont="0" applyFill="0" applyBorder="0" applyAlignment="0" applyProtection="0"/>
    <xf numFmtId="0" fontId="8" fillId="0" borderId="0"/>
  </cellStyleXfs>
  <cellXfs count="44">
    <xf numFmtId="0" fontId="0" fillId="0" borderId="0" xfId="0"/>
    <xf numFmtId="0" fontId="1" fillId="0" borderId="0" xfId="0" applyFont="1"/>
    <xf numFmtId="0" fontId="0" fillId="0" borderId="0" xfId="0" applyAlignment="1">
      <alignment horizontal="right"/>
    </xf>
    <xf numFmtId="164" fontId="0" fillId="0" borderId="0" xfId="0" applyNumberFormat="1"/>
    <xf numFmtId="1" fontId="0" fillId="0" borderId="0" xfId="0" applyNumberFormat="1"/>
    <xf numFmtId="9" fontId="0" fillId="0" borderId="0" xfId="0" applyNumberFormat="1"/>
    <xf numFmtId="9" fontId="0" fillId="2" borderId="0" xfId="0" applyNumberFormat="1" applyFill="1"/>
    <xf numFmtId="0" fontId="0" fillId="2" borderId="0" xfId="0" applyFill="1"/>
    <xf numFmtId="0" fontId="2" fillId="0" borderId="0" xfId="0" applyFont="1"/>
    <xf numFmtId="2" fontId="0" fillId="0" borderId="0" xfId="0" applyNumberFormat="1"/>
    <xf numFmtId="0" fontId="4" fillId="0" borderId="0" xfId="0" applyFont="1"/>
    <xf numFmtId="0" fontId="0" fillId="0" borderId="0" xfId="0" applyAlignment="1">
      <alignment horizontal="center"/>
    </xf>
    <xf numFmtId="0" fontId="5" fillId="0" borderId="0" xfId="0" applyFont="1"/>
    <xf numFmtId="1" fontId="0" fillId="2" borderId="0" xfId="0" applyNumberFormat="1" applyFill="1"/>
    <xf numFmtId="0" fontId="6" fillId="0" borderId="0" xfId="0" applyFont="1"/>
    <xf numFmtId="11" fontId="0" fillId="0" borderId="0" xfId="0" applyNumberFormat="1"/>
    <xf numFmtId="0" fontId="7" fillId="0" borderId="0" xfId="0" applyFont="1"/>
    <xf numFmtId="0" fontId="4" fillId="0" borderId="0" xfId="0" applyFont="1" applyAlignment="1">
      <alignment horizontal="right"/>
    </xf>
    <xf numFmtId="0" fontId="10" fillId="0" borderId="0" xfId="1" applyFont="1"/>
    <xf numFmtId="0" fontId="9" fillId="0" borderId="0" xfId="1"/>
    <xf numFmtId="0" fontId="10" fillId="0" borderId="0" xfId="1" applyFont="1" applyAlignment="1">
      <alignment horizontal="right"/>
    </xf>
    <xf numFmtId="0" fontId="9" fillId="0" borderId="0" xfId="1" applyFont="1"/>
    <xf numFmtId="0" fontId="9" fillId="2" borderId="0" xfId="1" applyFill="1"/>
    <xf numFmtId="11" fontId="9" fillId="0" borderId="0" xfId="1" applyNumberFormat="1"/>
    <xf numFmtId="0" fontId="9" fillId="0" borderId="0" xfId="1" applyNumberFormat="1"/>
    <xf numFmtId="11" fontId="9" fillId="2" borderId="0" xfId="1" applyNumberFormat="1" applyFill="1"/>
    <xf numFmtId="1" fontId="9" fillId="0" borderId="0" xfId="1" applyNumberFormat="1"/>
    <xf numFmtId="2" fontId="9" fillId="0" borderId="0" xfId="1" applyNumberFormat="1"/>
    <xf numFmtId="0" fontId="12" fillId="0" borderId="0" xfId="1" applyFont="1"/>
    <xf numFmtId="11" fontId="0" fillId="2" borderId="0" xfId="0" applyNumberFormat="1" applyFill="1"/>
    <xf numFmtId="0" fontId="14" fillId="0" borderId="0" xfId="0" applyFont="1"/>
    <xf numFmtId="0" fontId="15" fillId="0" borderId="0" xfId="0" applyFont="1"/>
    <xf numFmtId="0" fontId="16" fillId="0" borderId="0" xfId="0" applyFont="1"/>
    <xf numFmtId="0" fontId="17" fillId="0" borderId="0" xfId="0" applyFont="1"/>
    <xf numFmtId="0" fontId="20" fillId="0" borderId="0" xfId="0" applyFont="1"/>
    <xf numFmtId="0" fontId="22" fillId="0" borderId="0" xfId="1" applyFont="1"/>
    <xf numFmtId="165" fontId="9" fillId="0" borderId="0" xfId="1" applyNumberFormat="1"/>
    <xf numFmtId="0" fontId="9" fillId="0" borderId="0" xfId="1" applyFont="1" applyAlignment="1">
      <alignment horizontal="center"/>
    </xf>
    <xf numFmtId="166" fontId="9" fillId="2" borderId="0" xfId="1" applyNumberFormat="1" applyFill="1"/>
    <xf numFmtId="0" fontId="24" fillId="0" borderId="0" xfId="1" applyFont="1"/>
    <xf numFmtId="0" fontId="9" fillId="0" borderId="0" xfId="1" applyFont="1" applyAlignment="1"/>
    <xf numFmtId="0" fontId="25" fillId="0" borderId="0" xfId="1" applyFont="1"/>
    <xf numFmtId="0" fontId="26" fillId="0" borderId="0" xfId="1" applyFont="1"/>
    <xf numFmtId="0" fontId="9" fillId="0" borderId="0" xfId="1" applyFont="1" applyAlignment="1">
      <alignment horizontal="center"/>
    </xf>
  </cellXfs>
  <cellStyles count="4">
    <cellStyle name="Euro" xfId="2"/>
    <cellStyle name="Normale" xfId="0" builtinId="0"/>
    <cellStyle name="Normale 2" xfId="1"/>
    <cellStyle name="Normal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ACCELERAZIONE DI GRAVITA' MARZIANA </a:t>
            </a:r>
          </a:p>
        </c:rich>
      </c:tx>
      <c:layout>
        <c:manualLayout>
          <c:xMode val="edge"/>
          <c:yMode val="edge"/>
          <c:x val="0.26654855643044617"/>
          <c:y val="2.6737967914438502E-2"/>
        </c:manualLayout>
      </c:layout>
      <c:overlay val="1"/>
    </c:title>
    <c:autoTitleDeleted val="0"/>
    <c:plotArea>
      <c:layout/>
      <c:scatterChart>
        <c:scatterStyle val="smoothMarker"/>
        <c:varyColors val="0"/>
        <c:ser>
          <c:idx val="0"/>
          <c:order val="0"/>
          <c:tx>
            <c:strRef>
              <c:f>'g marziana'!$K$19</c:f>
              <c:strCache>
                <c:ptCount val="1"/>
                <c:pt idx="0">
                  <c:v>g</c:v>
                </c:pt>
              </c:strCache>
            </c:strRef>
          </c:tx>
          <c:marker>
            <c:symbol val="none"/>
          </c:marker>
          <c:xVal>
            <c:numRef>
              <c:f>'g marziana'!$J$20:$J$23</c:f>
              <c:numCache>
                <c:formatCode>0.00E+00</c:formatCode>
                <c:ptCount val="4"/>
                <c:pt idx="0">
                  <c:v>3400000</c:v>
                </c:pt>
                <c:pt idx="1">
                  <c:v>4000000</c:v>
                </c:pt>
                <c:pt idx="2">
                  <c:v>5000000</c:v>
                </c:pt>
                <c:pt idx="3">
                  <c:v>7000000</c:v>
                </c:pt>
              </c:numCache>
            </c:numRef>
          </c:xVal>
          <c:yVal>
            <c:numRef>
              <c:f>'g marziana'!$K$20:$K$23</c:f>
              <c:numCache>
                <c:formatCode>0.00</c:formatCode>
                <c:ptCount val="4"/>
                <c:pt idx="0">
                  <c:v>3.6948373702422144</c:v>
                </c:pt>
                <c:pt idx="1">
                  <c:v>2.6695199999999999</c:v>
                </c:pt>
                <c:pt idx="2">
                  <c:v>1.7084927999999999</c:v>
                </c:pt>
                <c:pt idx="3">
                  <c:v>0.87168000000000001</c:v>
                </c:pt>
              </c:numCache>
            </c:numRef>
          </c:yVal>
          <c:smooth val="1"/>
        </c:ser>
        <c:dLbls>
          <c:showLegendKey val="0"/>
          <c:showVal val="0"/>
          <c:showCatName val="0"/>
          <c:showSerName val="0"/>
          <c:showPercent val="0"/>
          <c:showBubbleSize val="0"/>
        </c:dLbls>
        <c:axId val="200742400"/>
        <c:axId val="200744960"/>
      </c:scatterChart>
      <c:valAx>
        <c:axId val="200742400"/>
        <c:scaling>
          <c:orientation val="minMax"/>
          <c:min val="3000000"/>
        </c:scaling>
        <c:delete val="0"/>
        <c:axPos val="b"/>
        <c:majorGridlines/>
        <c:title>
          <c:tx>
            <c:rich>
              <a:bodyPr/>
              <a:lstStyle/>
              <a:p>
                <a:pPr>
                  <a:defRPr/>
                </a:pPr>
                <a:r>
                  <a:rPr lang="en-US"/>
                  <a:t>D = distanza da centro pianeta(km)</a:t>
                </a:r>
              </a:p>
            </c:rich>
          </c:tx>
          <c:layout/>
          <c:overlay val="0"/>
        </c:title>
        <c:numFmt formatCode="General" sourceLinked="0"/>
        <c:majorTickMark val="out"/>
        <c:minorTickMark val="none"/>
        <c:tickLblPos val="nextTo"/>
        <c:crossAx val="200744960"/>
        <c:crosses val="autoZero"/>
        <c:crossBetween val="midCat"/>
        <c:dispUnits>
          <c:builtInUnit val="thousands"/>
        </c:dispUnits>
      </c:valAx>
      <c:valAx>
        <c:axId val="200744960"/>
        <c:scaling>
          <c:orientation val="minMax"/>
        </c:scaling>
        <c:delete val="0"/>
        <c:axPos val="l"/>
        <c:majorGridlines/>
        <c:title>
          <c:tx>
            <c:rich>
              <a:bodyPr rot="-5400000" vert="horz"/>
              <a:lstStyle/>
              <a:p>
                <a:pPr>
                  <a:defRPr/>
                </a:pPr>
                <a:r>
                  <a:rPr lang="en-US"/>
                  <a:t>g ( m/s^2)</a:t>
                </a:r>
              </a:p>
            </c:rich>
          </c:tx>
          <c:layout/>
          <c:overlay val="0"/>
        </c:title>
        <c:numFmt formatCode="#,##0.0" sourceLinked="0"/>
        <c:majorTickMark val="out"/>
        <c:minorTickMark val="none"/>
        <c:tickLblPos val="nextTo"/>
        <c:crossAx val="20074240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VELOCITA' DI HERMES E MAV</a:t>
            </a:r>
          </a:p>
        </c:rich>
      </c:tx>
      <c:layout>
        <c:manualLayout>
          <c:xMode val="edge"/>
          <c:yMode val="edge"/>
          <c:x val="0.16996715067581208"/>
          <c:y val="3.4567901234567898E-2"/>
        </c:manualLayout>
      </c:layout>
      <c:overlay val="1"/>
    </c:title>
    <c:autoTitleDeleted val="0"/>
    <c:plotArea>
      <c:layout/>
      <c:scatterChart>
        <c:scatterStyle val="smoothMarker"/>
        <c:varyColors val="0"/>
        <c:ser>
          <c:idx val="0"/>
          <c:order val="0"/>
          <c:tx>
            <c:strRef>
              <c:f>orbite!$M$22</c:f>
              <c:strCache>
                <c:ptCount val="1"/>
                <c:pt idx="0">
                  <c:v>vMAV (m/s)</c:v>
                </c:pt>
              </c:strCache>
            </c:strRef>
          </c:tx>
          <c:marker>
            <c:symbol val="none"/>
          </c:marker>
          <c:xVal>
            <c:numRef>
              <c:f>orbite!$L$23:$L$40</c:f>
              <c:numCache>
                <c:formatCode>0.00E+00</c:formatCode>
                <c:ptCount val="18"/>
                <c:pt idx="0">
                  <c:v>3400000</c:v>
                </c:pt>
                <c:pt idx="1">
                  <c:v>3500000</c:v>
                </c:pt>
                <c:pt idx="2">
                  <c:v>3600000</c:v>
                </c:pt>
                <c:pt idx="3">
                  <c:v>3900000</c:v>
                </c:pt>
                <c:pt idx="4">
                  <c:v>4400000</c:v>
                </c:pt>
                <c:pt idx="5">
                  <c:v>5400000</c:v>
                </c:pt>
                <c:pt idx="6">
                  <c:v>6400000</c:v>
                </c:pt>
                <c:pt idx="7">
                  <c:v>7400000</c:v>
                </c:pt>
                <c:pt idx="8">
                  <c:v>8400000</c:v>
                </c:pt>
                <c:pt idx="9">
                  <c:v>9400000</c:v>
                </c:pt>
                <c:pt idx="10">
                  <c:v>10400000</c:v>
                </c:pt>
                <c:pt idx="11">
                  <c:v>11400000</c:v>
                </c:pt>
                <c:pt idx="12">
                  <c:v>12400000</c:v>
                </c:pt>
                <c:pt idx="13">
                  <c:v>13400000</c:v>
                </c:pt>
                <c:pt idx="14">
                  <c:v>18400000</c:v>
                </c:pt>
                <c:pt idx="15">
                  <c:v>23400000</c:v>
                </c:pt>
                <c:pt idx="16">
                  <c:v>28400000</c:v>
                </c:pt>
                <c:pt idx="17">
                  <c:v>33400000</c:v>
                </c:pt>
              </c:numCache>
            </c:numRef>
          </c:xVal>
          <c:yVal>
            <c:numRef>
              <c:f>orbite!$M$23:$M$40</c:f>
              <c:numCache>
                <c:formatCode>0</c:formatCode>
                <c:ptCount val="18"/>
                <c:pt idx="0">
                  <c:v>3544.3542513162438</c:v>
                </c:pt>
                <c:pt idx="1">
                  <c:v>3493.3536895081206</c:v>
                </c:pt>
                <c:pt idx="2">
                  <c:v>3444.4931896192411</c:v>
                </c:pt>
                <c:pt idx="3">
                  <c:v>3309.3620114875503</c:v>
                </c:pt>
                <c:pt idx="4">
                  <c:v>3115.6613189731415</c:v>
                </c:pt>
                <c:pt idx="5">
                  <c:v>2812.4169123529477</c:v>
                </c:pt>
                <c:pt idx="6">
                  <c:v>2583.3698922144308</c:v>
                </c:pt>
                <c:pt idx="7">
                  <c:v>2402.4851997744199</c:v>
                </c:pt>
                <c:pt idx="8">
                  <c:v>2254.9501103128646</c:v>
                </c:pt>
                <c:pt idx="9">
                  <c:v>2131.6340750202025</c:v>
                </c:pt>
                <c:pt idx="10">
                  <c:v>2026.562075573765</c:v>
                </c:pt>
                <c:pt idx="11">
                  <c:v>1935.6380696922927</c:v>
                </c:pt>
                <c:pt idx="12">
                  <c:v>1855.947718952199</c:v>
                </c:pt>
                <c:pt idx="13">
                  <c:v>1785.3533451852545</c:v>
                </c:pt>
                <c:pt idx="14">
                  <c:v>1523.5884415190458</c:v>
                </c:pt>
                <c:pt idx="15">
                  <c:v>1351.0413837158433</c:v>
                </c:pt>
                <c:pt idx="16">
                  <c:v>1226.3584017641274</c:v>
                </c:pt>
                <c:pt idx="17">
                  <c:v>1130.845690643911</c:v>
                </c:pt>
              </c:numCache>
            </c:numRef>
          </c:yVal>
          <c:smooth val="1"/>
        </c:ser>
        <c:ser>
          <c:idx val="1"/>
          <c:order val="1"/>
          <c:tx>
            <c:strRef>
              <c:f>orbite!$N$22</c:f>
              <c:strCache>
                <c:ptCount val="1"/>
                <c:pt idx="0">
                  <c:v>vH (m/s)</c:v>
                </c:pt>
              </c:strCache>
            </c:strRef>
          </c:tx>
          <c:marker>
            <c:symbol val="none"/>
          </c:marker>
          <c:xVal>
            <c:numRef>
              <c:f>orbite!$L$23:$L$40</c:f>
              <c:numCache>
                <c:formatCode>0.00E+00</c:formatCode>
                <c:ptCount val="18"/>
                <c:pt idx="0">
                  <c:v>3400000</c:v>
                </c:pt>
                <c:pt idx="1">
                  <c:v>3500000</c:v>
                </c:pt>
                <c:pt idx="2">
                  <c:v>3600000</c:v>
                </c:pt>
                <c:pt idx="3">
                  <c:v>3900000</c:v>
                </c:pt>
                <c:pt idx="4">
                  <c:v>4400000</c:v>
                </c:pt>
                <c:pt idx="5">
                  <c:v>5400000</c:v>
                </c:pt>
                <c:pt idx="6">
                  <c:v>6400000</c:v>
                </c:pt>
                <c:pt idx="7">
                  <c:v>7400000</c:v>
                </c:pt>
                <c:pt idx="8">
                  <c:v>8400000</c:v>
                </c:pt>
                <c:pt idx="9">
                  <c:v>9400000</c:v>
                </c:pt>
                <c:pt idx="10">
                  <c:v>10400000</c:v>
                </c:pt>
                <c:pt idx="11">
                  <c:v>11400000</c:v>
                </c:pt>
                <c:pt idx="12">
                  <c:v>12400000</c:v>
                </c:pt>
                <c:pt idx="13">
                  <c:v>13400000</c:v>
                </c:pt>
                <c:pt idx="14">
                  <c:v>18400000</c:v>
                </c:pt>
                <c:pt idx="15">
                  <c:v>23400000</c:v>
                </c:pt>
                <c:pt idx="16">
                  <c:v>28400000</c:v>
                </c:pt>
                <c:pt idx="17">
                  <c:v>33400000</c:v>
                </c:pt>
              </c:numCache>
            </c:numRef>
          </c:xVal>
          <c:yVal>
            <c:numRef>
              <c:f>orbite!$N$23:$N$40</c:f>
              <c:numCache>
                <c:formatCode>0</c:formatCode>
                <c:ptCount val="18"/>
                <c:pt idx="0">
                  <c:v>5012.4738520661695</c:v>
                </c:pt>
                <c:pt idx="1">
                  <c:v>4940.348165868475</c:v>
                </c:pt>
                <c:pt idx="2">
                  <c:v>4871.2489842612922</c:v>
                </c:pt>
                <c:pt idx="3">
                  <c:v>4680.1446394479999</c:v>
                </c:pt>
                <c:pt idx="4">
                  <c:v>4406.2104930530631</c:v>
                </c:pt>
                <c:pt idx="5">
                  <c:v>3977.3581404970032</c:v>
                </c:pt>
                <c:pt idx="6">
                  <c:v>3653.4367381959692</c:v>
                </c:pt>
                <c:pt idx="7">
                  <c:v>3397.6271529216197</c:v>
                </c:pt>
                <c:pt idx="8">
                  <c:v>3188.9810284791602</c:v>
                </c:pt>
                <c:pt idx="9">
                  <c:v>3014.5858189101982</c:v>
                </c:pt>
                <c:pt idx="10">
                  <c:v>2865.9915722673877</c:v>
                </c:pt>
                <c:pt idx="11">
                  <c:v>2737.4056100045186</c:v>
                </c:pt>
                <c:pt idx="12">
                  <c:v>2624.7064351976092</c:v>
                </c:pt>
                <c:pt idx="13">
                  <c:v>2524.870914389161</c:v>
                </c:pt>
                <c:pt idx="14">
                  <c:v>2154.6794374711217</c:v>
                </c:pt>
                <c:pt idx="15">
                  <c:v>1910.6610481782584</c:v>
                </c:pt>
                <c:pt idx="16">
                  <c:v>1734.3326841050221</c:v>
                </c:pt>
                <c:pt idx="17">
                  <c:v>1599.2573126597886</c:v>
                </c:pt>
              </c:numCache>
            </c:numRef>
          </c:yVal>
          <c:smooth val="1"/>
        </c:ser>
        <c:dLbls>
          <c:showLegendKey val="0"/>
          <c:showVal val="0"/>
          <c:showCatName val="0"/>
          <c:showSerName val="0"/>
          <c:showPercent val="0"/>
          <c:showBubbleSize val="0"/>
        </c:dLbls>
        <c:axId val="200928256"/>
        <c:axId val="201020544"/>
      </c:scatterChart>
      <c:valAx>
        <c:axId val="200928256"/>
        <c:scaling>
          <c:orientation val="minMax"/>
          <c:max val="30000000"/>
        </c:scaling>
        <c:delete val="0"/>
        <c:axPos val="b"/>
        <c:minorGridlines/>
        <c:numFmt formatCode="#,##0" sourceLinked="0"/>
        <c:majorTickMark val="out"/>
        <c:minorTickMark val="none"/>
        <c:tickLblPos val="nextTo"/>
        <c:crossAx val="201020544"/>
        <c:crosses val="autoZero"/>
        <c:crossBetween val="midCat"/>
        <c:dispUnits>
          <c:builtInUnit val="thousands"/>
          <c:dispUnitsLbl>
            <c:layout/>
            <c:tx>
              <c:rich>
                <a:bodyPr/>
                <a:lstStyle/>
                <a:p>
                  <a:pPr>
                    <a:defRPr/>
                  </a:pPr>
                  <a:r>
                    <a:rPr lang="it-IT"/>
                    <a:t>quota (km)</a:t>
                  </a:r>
                </a:p>
              </c:rich>
            </c:tx>
          </c:dispUnitsLbl>
        </c:dispUnits>
      </c:valAx>
      <c:valAx>
        <c:axId val="201020544"/>
        <c:scaling>
          <c:orientation val="minMax"/>
        </c:scaling>
        <c:delete val="0"/>
        <c:axPos val="l"/>
        <c:minorGridlines/>
        <c:numFmt formatCode="0" sourceLinked="1"/>
        <c:majorTickMark val="out"/>
        <c:minorTickMark val="none"/>
        <c:tickLblPos val="nextTo"/>
        <c:crossAx val="200928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11</xdr:col>
      <xdr:colOff>423237</xdr:colOff>
      <xdr:row>11</xdr:row>
      <xdr:rowOff>112023</xdr:rowOff>
    </xdr:from>
    <xdr:to>
      <xdr:col>11</xdr:col>
      <xdr:colOff>567993</xdr:colOff>
      <xdr:row>16</xdr:row>
      <xdr:rowOff>60615</xdr:rowOff>
    </xdr:to>
    <xdr:sp macro="" textlink="">
      <xdr:nvSpPr>
        <xdr:cNvPr id="3" name="Freccia a destra 2"/>
        <xdr:cNvSpPr/>
      </xdr:nvSpPr>
      <xdr:spPr>
        <a:xfrm rot="18011163">
          <a:off x="9200499" y="2170401"/>
          <a:ext cx="878232" cy="144756"/>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12</xdr:col>
      <xdr:colOff>440473</xdr:colOff>
      <xdr:row>12</xdr:row>
      <xdr:rowOff>12836</xdr:rowOff>
    </xdr:from>
    <xdr:to>
      <xdr:col>13</xdr:col>
      <xdr:colOff>2916</xdr:colOff>
      <xdr:row>16</xdr:row>
      <xdr:rowOff>51992</xdr:rowOff>
    </xdr:to>
    <xdr:sp macro="" textlink="">
      <xdr:nvSpPr>
        <xdr:cNvPr id="4" name="Freccia a destra 3"/>
        <xdr:cNvSpPr/>
      </xdr:nvSpPr>
      <xdr:spPr>
        <a:xfrm rot="14279546">
          <a:off x="9887137" y="2194292"/>
          <a:ext cx="785916" cy="172043"/>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9</xdr:col>
      <xdr:colOff>449580</xdr:colOff>
      <xdr:row>16</xdr:row>
      <xdr:rowOff>0</xdr:rowOff>
    </xdr:from>
    <xdr:to>
      <xdr:col>15</xdr:col>
      <xdr:colOff>335280</xdr:colOff>
      <xdr:row>16</xdr:row>
      <xdr:rowOff>0</xdr:rowOff>
    </xdr:to>
    <xdr:cxnSp macro="">
      <xdr:nvCxnSpPr>
        <xdr:cNvPr id="5" name="Connettore 1 4"/>
        <xdr:cNvCxnSpPr/>
      </xdr:nvCxnSpPr>
      <xdr:spPr>
        <a:xfrm>
          <a:off x="8374380" y="2621280"/>
          <a:ext cx="3543300" cy="0"/>
        </a:xfrm>
        <a:prstGeom prst="line">
          <a:avLst/>
        </a:prstGeom>
        <a:ln w="2540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320040</xdr:colOff>
      <xdr:row>9</xdr:row>
      <xdr:rowOff>144780</xdr:rowOff>
    </xdr:from>
    <xdr:to>
      <xdr:col>15</xdr:col>
      <xdr:colOff>403860</xdr:colOff>
      <xdr:row>10</xdr:row>
      <xdr:rowOff>137160</xdr:rowOff>
    </xdr:to>
    <xdr:sp macro="" textlink="">
      <xdr:nvSpPr>
        <xdr:cNvPr id="16" name="Freccia a sinistra 15"/>
        <xdr:cNvSpPr/>
      </xdr:nvSpPr>
      <xdr:spPr>
        <a:xfrm>
          <a:off x="8854440" y="1424940"/>
          <a:ext cx="693420" cy="175260"/>
        </a:xfrm>
        <a:prstGeom prst="leftArrow">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533400</xdr:colOff>
      <xdr:row>7</xdr:row>
      <xdr:rowOff>0</xdr:rowOff>
    </xdr:from>
    <xdr:to>
      <xdr:col>12</xdr:col>
      <xdr:colOff>495300</xdr:colOff>
      <xdr:row>13</xdr:row>
      <xdr:rowOff>60960</xdr:rowOff>
    </xdr:to>
    <xdr:sp macro="" textlink="">
      <xdr:nvSpPr>
        <xdr:cNvPr id="17" name="Rettangolo 16"/>
        <xdr:cNvSpPr/>
      </xdr:nvSpPr>
      <xdr:spPr>
        <a:xfrm>
          <a:off x="7239000" y="883920"/>
          <a:ext cx="571500" cy="11887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106680</xdr:colOff>
      <xdr:row>10</xdr:row>
      <xdr:rowOff>0</xdr:rowOff>
    </xdr:from>
    <xdr:to>
      <xdr:col>12</xdr:col>
      <xdr:colOff>205740</xdr:colOff>
      <xdr:row>10</xdr:row>
      <xdr:rowOff>7620</xdr:rowOff>
    </xdr:to>
    <xdr:cxnSp macro="">
      <xdr:nvCxnSpPr>
        <xdr:cNvPr id="11" name="Connettore 2 10"/>
        <xdr:cNvCxnSpPr/>
      </xdr:nvCxnSpPr>
      <xdr:spPr>
        <a:xfrm flipH="1">
          <a:off x="9250680" y="1508760"/>
          <a:ext cx="708660" cy="7620"/>
        </a:xfrm>
        <a:prstGeom prst="straightConnector1">
          <a:avLst/>
        </a:prstGeom>
        <a:ln w="19050">
          <a:solidFill>
            <a:srgbClr val="7030A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0</xdr:colOff>
      <xdr:row>18</xdr:row>
      <xdr:rowOff>0</xdr:rowOff>
    </xdr:from>
    <xdr:to>
      <xdr:col>20</xdr:col>
      <xdr:colOff>79625</xdr:colOff>
      <xdr:row>36</xdr:row>
      <xdr:rowOff>103926</xdr:rowOff>
    </xdr:to>
    <xdr:pic>
      <xdr:nvPicPr>
        <xdr:cNvPr id="6" name="Immagine 5"/>
        <xdr:cNvPicPr>
          <a:picLocks noChangeAspect="1"/>
        </xdr:cNvPicPr>
      </xdr:nvPicPr>
      <xdr:blipFill>
        <a:blip xmlns:r="http://schemas.openxmlformats.org/officeDocument/2006/relationships" r:embed="rId1"/>
        <a:stretch>
          <a:fillRect/>
        </a:stretch>
      </xdr:blipFill>
      <xdr:spPr>
        <a:xfrm>
          <a:off x="7924800" y="3291840"/>
          <a:ext cx="4346825" cy="33957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423237</xdr:colOff>
      <xdr:row>11</xdr:row>
      <xdr:rowOff>112023</xdr:rowOff>
    </xdr:from>
    <xdr:to>
      <xdr:col>11</xdr:col>
      <xdr:colOff>567993</xdr:colOff>
      <xdr:row>16</xdr:row>
      <xdr:rowOff>60615</xdr:rowOff>
    </xdr:to>
    <xdr:sp macro="" textlink="">
      <xdr:nvSpPr>
        <xdr:cNvPr id="2" name="Freccia a destra 1"/>
        <xdr:cNvSpPr/>
      </xdr:nvSpPr>
      <xdr:spPr>
        <a:xfrm rot="18011163">
          <a:off x="6769719" y="2482821"/>
          <a:ext cx="862992" cy="144756"/>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12</xdr:col>
      <xdr:colOff>440473</xdr:colOff>
      <xdr:row>12</xdr:row>
      <xdr:rowOff>12836</xdr:rowOff>
    </xdr:from>
    <xdr:to>
      <xdr:col>13</xdr:col>
      <xdr:colOff>2916</xdr:colOff>
      <xdr:row>16</xdr:row>
      <xdr:rowOff>51992</xdr:rowOff>
    </xdr:to>
    <xdr:sp macro="" textlink="">
      <xdr:nvSpPr>
        <xdr:cNvPr id="3" name="Freccia a destra 2"/>
        <xdr:cNvSpPr/>
      </xdr:nvSpPr>
      <xdr:spPr>
        <a:xfrm rot="14279546">
          <a:off x="7456357" y="2506712"/>
          <a:ext cx="770676" cy="172043"/>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9</xdr:col>
      <xdr:colOff>449580</xdr:colOff>
      <xdr:row>16</xdr:row>
      <xdr:rowOff>0</xdr:rowOff>
    </xdr:from>
    <xdr:to>
      <xdr:col>15</xdr:col>
      <xdr:colOff>335280</xdr:colOff>
      <xdr:row>16</xdr:row>
      <xdr:rowOff>0</xdr:rowOff>
    </xdr:to>
    <xdr:cxnSp macro="">
      <xdr:nvCxnSpPr>
        <xdr:cNvPr id="4" name="Connettore 1 3"/>
        <xdr:cNvCxnSpPr/>
      </xdr:nvCxnSpPr>
      <xdr:spPr>
        <a:xfrm>
          <a:off x="5935980" y="2926080"/>
          <a:ext cx="3543300" cy="0"/>
        </a:xfrm>
        <a:prstGeom prst="line">
          <a:avLst/>
        </a:prstGeom>
        <a:ln w="2540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320040</xdr:colOff>
      <xdr:row>9</xdr:row>
      <xdr:rowOff>144780</xdr:rowOff>
    </xdr:from>
    <xdr:to>
      <xdr:col>15</xdr:col>
      <xdr:colOff>403860</xdr:colOff>
      <xdr:row>10</xdr:row>
      <xdr:rowOff>137160</xdr:rowOff>
    </xdr:to>
    <xdr:sp macro="" textlink="">
      <xdr:nvSpPr>
        <xdr:cNvPr id="5" name="Freccia a sinistra 4"/>
        <xdr:cNvSpPr/>
      </xdr:nvSpPr>
      <xdr:spPr>
        <a:xfrm>
          <a:off x="8854440" y="1790700"/>
          <a:ext cx="693420" cy="175260"/>
        </a:xfrm>
        <a:prstGeom prst="leftArrow">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533400</xdr:colOff>
      <xdr:row>7</xdr:row>
      <xdr:rowOff>0</xdr:rowOff>
    </xdr:from>
    <xdr:to>
      <xdr:col>12</xdr:col>
      <xdr:colOff>495300</xdr:colOff>
      <xdr:row>13</xdr:row>
      <xdr:rowOff>60960</xdr:rowOff>
    </xdr:to>
    <xdr:sp macro="" textlink="">
      <xdr:nvSpPr>
        <xdr:cNvPr id="6" name="Rettangolo 5"/>
        <xdr:cNvSpPr/>
      </xdr:nvSpPr>
      <xdr:spPr>
        <a:xfrm>
          <a:off x="7239000" y="1280160"/>
          <a:ext cx="571500" cy="11582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106680</xdr:colOff>
      <xdr:row>10</xdr:row>
      <xdr:rowOff>0</xdr:rowOff>
    </xdr:from>
    <xdr:to>
      <xdr:col>12</xdr:col>
      <xdr:colOff>205740</xdr:colOff>
      <xdr:row>10</xdr:row>
      <xdr:rowOff>7620</xdr:rowOff>
    </xdr:to>
    <xdr:cxnSp macro="">
      <xdr:nvCxnSpPr>
        <xdr:cNvPr id="7" name="Connettore 2 6"/>
        <xdr:cNvCxnSpPr/>
      </xdr:nvCxnSpPr>
      <xdr:spPr>
        <a:xfrm flipH="1">
          <a:off x="6812280" y="1828800"/>
          <a:ext cx="708660" cy="7620"/>
        </a:xfrm>
        <a:prstGeom prst="straightConnector1">
          <a:avLst/>
        </a:prstGeom>
        <a:ln w="19050">
          <a:solidFill>
            <a:srgbClr val="7030A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60960</xdr:colOff>
      <xdr:row>15</xdr:row>
      <xdr:rowOff>49530</xdr:rowOff>
    </xdr:from>
    <xdr:ext cx="914400" cy="264560"/>
    <mc:AlternateContent xmlns:mc="http://schemas.openxmlformats.org/markup-compatibility/2006" xmlns:a14="http://schemas.microsoft.com/office/drawing/2010/main">
      <mc:Choice Requires="a14">
        <xdr:sp macro="" textlink="">
          <xdr:nvSpPr>
            <xdr:cNvPr id="8" name="CasellaDiTesto 7"/>
            <xdr:cNvSpPr txBox="1"/>
          </xdr:nvSpPr>
          <xdr:spPr>
            <a:xfrm>
              <a:off x="6766560" y="279273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m:rPr>
                        <m:sty m:val="p"/>
                      </m:rPr>
                      <a:rPr lang="el-GR" sz="1100" i="1">
                        <a:latin typeface="Cambria Math"/>
                      </a:rPr>
                      <m:t>ρ</m:t>
                    </m:r>
                  </m:oMath>
                </m:oMathPara>
              </a14:m>
              <a:endParaRPr lang="it-IT" sz="1100"/>
            </a:p>
          </xdr:txBody>
        </xdr:sp>
      </mc:Choice>
      <mc:Fallback xmlns="">
        <xdr:sp macro="" textlink="">
          <xdr:nvSpPr>
            <xdr:cNvPr id="8" name="CasellaDiTesto 7"/>
            <xdr:cNvSpPr txBox="1"/>
          </xdr:nvSpPr>
          <xdr:spPr>
            <a:xfrm>
              <a:off x="6766560" y="279273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l-GR" sz="1100" i="0">
                  <a:latin typeface="Cambria Math"/>
                </a:rPr>
                <a:t>ρ</a:t>
              </a:r>
              <a:endParaRPr lang="it-IT" sz="1100"/>
            </a:p>
          </xdr:txBody>
        </xdr:sp>
      </mc:Fallback>
    </mc:AlternateContent>
    <xdr:clientData/>
  </xdr:oneCellAnchor>
  <xdr:twoCellAnchor editAs="oneCell">
    <xdr:from>
      <xdr:col>13</xdr:col>
      <xdr:colOff>0</xdr:colOff>
      <xdr:row>19</xdr:row>
      <xdr:rowOff>0</xdr:rowOff>
    </xdr:from>
    <xdr:to>
      <xdr:col>20</xdr:col>
      <xdr:colOff>76200</xdr:colOff>
      <xdr:row>37</xdr:row>
      <xdr:rowOff>104571</xdr:rowOff>
    </xdr:to>
    <xdr:pic>
      <xdr:nvPicPr>
        <xdr:cNvPr id="10" name="Immagine 9"/>
        <xdr:cNvPicPr>
          <a:picLocks noChangeAspect="1"/>
        </xdr:cNvPicPr>
      </xdr:nvPicPr>
      <xdr:blipFill>
        <a:blip xmlns:r="http://schemas.openxmlformats.org/officeDocument/2006/relationships" r:embed="rId1"/>
        <a:stretch>
          <a:fillRect/>
        </a:stretch>
      </xdr:blipFill>
      <xdr:spPr>
        <a:xfrm>
          <a:off x="7924800" y="3474720"/>
          <a:ext cx="4343400" cy="3396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106680</xdr:colOff>
      <xdr:row>21</xdr:row>
      <xdr:rowOff>19050</xdr:rowOff>
    </xdr:from>
    <xdr:ext cx="2270760" cy="390363"/>
    <mc:AlternateContent xmlns:mc="http://schemas.openxmlformats.org/markup-compatibility/2006" xmlns:a14="http://schemas.microsoft.com/office/drawing/2010/main">
      <mc:Choice Requires="a14">
        <xdr:sp macro="" textlink="">
          <xdr:nvSpPr>
            <xdr:cNvPr id="2" name="CasellaDiTesto 1"/>
            <xdr:cNvSpPr txBox="1"/>
          </xdr:nvSpPr>
          <xdr:spPr>
            <a:xfrm>
              <a:off x="8641080" y="3905250"/>
              <a:ext cx="2270760" cy="390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200"/>
                <a:t> k = 0,5(1+ </a:t>
              </a:r>
              <a14:m>
                <m:oMath xmlns:m="http://schemas.openxmlformats.org/officeDocument/2006/math">
                  <m:f>
                    <m:fPr>
                      <m:ctrlPr>
                        <a:rPr lang="it-IT" sz="1200" i="1">
                          <a:latin typeface="Cambria Math"/>
                        </a:rPr>
                      </m:ctrlPr>
                    </m:fPr>
                    <m:num>
                      <m:r>
                        <a:rPr lang="it-IT" sz="1200" b="0" i="1">
                          <a:latin typeface="Cambria Math"/>
                        </a:rPr>
                        <m:t>𝐹</m:t>
                      </m:r>
                      <m:sSub>
                        <m:sSubPr>
                          <m:ctrlPr>
                            <a:rPr lang="it-IT" sz="1200" b="0" i="1">
                              <a:latin typeface="Cambria Math"/>
                            </a:rPr>
                          </m:ctrlPr>
                        </m:sSubPr>
                        <m:e>
                          <m:r>
                            <a:rPr lang="it-IT" sz="1200" b="0" i="1">
                              <a:latin typeface="Cambria Math"/>
                            </a:rPr>
                            <m:t>𝑦</m:t>
                          </m:r>
                        </m:e>
                        <m:sub>
                          <m:r>
                            <a:rPr lang="it-IT" sz="1200" b="0" i="1">
                              <a:latin typeface="Cambria Math"/>
                            </a:rPr>
                            <m:t>𝑓</m:t>
                          </m:r>
                        </m:sub>
                      </m:sSub>
                    </m:num>
                    <m:den>
                      <m:r>
                        <a:rPr lang="it-IT" sz="1200" b="0" i="1">
                          <a:latin typeface="Cambria Math"/>
                        </a:rPr>
                        <m:t>𝑝</m:t>
                      </m:r>
                      <m:sSub>
                        <m:sSubPr>
                          <m:ctrlPr>
                            <a:rPr lang="it-IT" sz="1200" b="0" i="1">
                              <a:latin typeface="Cambria Math"/>
                            </a:rPr>
                          </m:ctrlPr>
                        </m:sSubPr>
                        <m:e>
                          <m:r>
                            <a:rPr lang="it-IT" sz="1200" b="0" i="1">
                              <a:latin typeface="Cambria Math"/>
                            </a:rPr>
                            <m:t>𝑥</m:t>
                          </m:r>
                        </m:e>
                        <m:sub>
                          <m:r>
                            <a:rPr lang="it-IT" sz="1200" b="0" i="1">
                              <a:latin typeface="Cambria Math"/>
                            </a:rPr>
                            <m:t>𝑏</m:t>
                          </m:r>
                        </m:sub>
                      </m:sSub>
                    </m:den>
                  </m:f>
                </m:oMath>
              </a14:m>
              <a:r>
                <a:rPr lang="it-IT" sz="1200"/>
                <a:t>)</a:t>
              </a:r>
            </a:p>
          </xdr:txBody>
        </xdr:sp>
      </mc:Choice>
      <mc:Fallback xmlns="">
        <xdr:sp macro="" textlink="">
          <xdr:nvSpPr>
            <xdr:cNvPr id="2" name="CasellaDiTesto 1"/>
            <xdr:cNvSpPr txBox="1"/>
          </xdr:nvSpPr>
          <xdr:spPr>
            <a:xfrm>
              <a:off x="8641080" y="3905250"/>
              <a:ext cx="2270760" cy="390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200"/>
                <a:t> k = 0,5(1+ </a:t>
              </a:r>
              <a:r>
                <a:rPr lang="it-IT" sz="1200" i="0">
                  <a:latin typeface="Cambria Math"/>
                </a:rPr>
                <a:t>(</a:t>
              </a:r>
              <a:r>
                <a:rPr lang="it-IT" sz="1200" b="0" i="0">
                  <a:latin typeface="Cambria Math"/>
                </a:rPr>
                <a:t>𝐹𝑦_𝑓)/(𝑝𝑥_𝑏 )</a:t>
              </a:r>
              <a:r>
                <a:rPr lang="it-IT" sz="1200"/>
                <a:t>)</a:t>
              </a:r>
            </a:p>
          </xdr:txBody>
        </xdr:sp>
      </mc:Fallback>
    </mc:AlternateContent>
    <xdr:clientData/>
  </xdr:oneCellAnchor>
  <xdr:oneCellAnchor>
    <xdr:from>
      <xdr:col>17</xdr:col>
      <xdr:colOff>434340</xdr:colOff>
      <xdr:row>26</xdr:row>
      <xdr:rowOff>179071</xdr:rowOff>
    </xdr:from>
    <xdr:ext cx="876300" cy="357855"/>
    <mc:AlternateContent xmlns:mc="http://schemas.openxmlformats.org/markup-compatibility/2006" xmlns:a14="http://schemas.microsoft.com/office/drawing/2010/main">
      <mc:Choice Requires="a14">
        <xdr:sp macro="" textlink="">
          <xdr:nvSpPr>
            <xdr:cNvPr id="3" name="CasellaDiTesto 2"/>
            <xdr:cNvSpPr txBox="1"/>
          </xdr:nvSpPr>
          <xdr:spPr>
            <a:xfrm>
              <a:off x="10797540" y="4979671"/>
              <a:ext cx="876300" cy="35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it-IT" sz="1100" i="1">
                          <a:latin typeface="Cambria Math"/>
                        </a:rPr>
                      </m:ctrlPr>
                    </m:sSubPr>
                    <m:e>
                      <m:r>
                        <a:rPr lang="it-IT" sz="1100" b="0" i="1">
                          <a:latin typeface="Cambria Math"/>
                        </a:rPr>
                        <m:t>𝐹</m:t>
                      </m:r>
                    </m:e>
                    <m:sub>
                      <m:r>
                        <a:rPr lang="it-IT" sz="1100" b="0" i="1">
                          <a:latin typeface="Cambria Math"/>
                        </a:rPr>
                        <m:t>𝑙𝑖𝑚</m:t>
                      </m:r>
                    </m:sub>
                  </m:sSub>
                  <m:r>
                    <a:rPr lang="it-IT" sz="1100" b="0" i="1">
                      <a:latin typeface="Cambria Math"/>
                    </a:rPr>
                    <m:t>= </m:t>
                  </m:r>
                  <m:f>
                    <m:fPr>
                      <m:ctrlPr>
                        <a:rPr lang="it-IT" sz="1100" b="0" i="1">
                          <a:latin typeface="Cambria Math"/>
                        </a:rPr>
                      </m:ctrlPr>
                    </m:fPr>
                    <m:num>
                      <m:sSub>
                        <m:sSubPr>
                          <m:ctrlPr>
                            <a:rPr lang="it-IT" sz="1100" b="0" i="1">
                              <a:latin typeface="Cambria Math"/>
                            </a:rPr>
                          </m:ctrlPr>
                        </m:sSubPr>
                        <m:e>
                          <m:r>
                            <a:rPr lang="it-IT" sz="1100" b="0" i="1">
                              <a:latin typeface="Cambria Math"/>
                            </a:rPr>
                            <m:t>𝑥</m:t>
                          </m:r>
                        </m:e>
                        <m:sub>
                          <m:r>
                            <a:rPr lang="it-IT" sz="1100" b="0" i="1">
                              <a:latin typeface="Cambria Math"/>
                            </a:rPr>
                            <m:t>𝑏</m:t>
                          </m:r>
                        </m:sub>
                      </m:sSub>
                    </m:num>
                    <m:den>
                      <m:sSub>
                        <m:sSubPr>
                          <m:ctrlPr>
                            <a:rPr lang="it-IT" sz="1100" b="0" i="1">
                              <a:latin typeface="Cambria Math"/>
                            </a:rPr>
                          </m:ctrlPr>
                        </m:sSubPr>
                        <m:e>
                          <m:r>
                            <a:rPr lang="it-IT" sz="1100" b="0" i="1">
                              <a:latin typeface="Cambria Math"/>
                            </a:rPr>
                            <m:t>𝑦</m:t>
                          </m:r>
                        </m:e>
                        <m:sub>
                          <m:r>
                            <a:rPr lang="it-IT" sz="1100" b="0" i="1">
                              <a:latin typeface="Cambria Math"/>
                            </a:rPr>
                            <m:t>𝑓</m:t>
                          </m:r>
                        </m:sub>
                      </m:sSub>
                    </m:den>
                  </m:f>
                </m:oMath>
              </a14:m>
              <a:r>
                <a:rPr lang="it-IT" sz="1100"/>
                <a:t> p</a:t>
              </a:r>
            </a:p>
          </xdr:txBody>
        </xdr:sp>
      </mc:Choice>
      <mc:Fallback xmlns="">
        <xdr:sp macro="" textlink="">
          <xdr:nvSpPr>
            <xdr:cNvPr id="3" name="CasellaDiTesto 2"/>
            <xdr:cNvSpPr txBox="1"/>
          </xdr:nvSpPr>
          <xdr:spPr>
            <a:xfrm>
              <a:off x="10797540" y="4979671"/>
              <a:ext cx="876300" cy="35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it-IT" sz="1100" b="0" i="0">
                  <a:latin typeface="Cambria Math"/>
                </a:rPr>
                <a:t>𝐹_𝑙𝑖𝑚=  𝑥_𝑏/𝑦_𝑓 </a:t>
              </a:r>
              <a:r>
                <a:rPr lang="it-IT" sz="1100"/>
                <a:t> p</a:t>
              </a:r>
            </a:p>
          </xdr:txBody>
        </xdr:sp>
      </mc:Fallback>
    </mc:AlternateContent>
    <xdr:clientData/>
  </xdr:oneCellAnchor>
  <xdr:twoCellAnchor>
    <xdr:from>
      <xdr:col>15</xdr:col>
      <xdr:colOff>541020</xdr:colOff>
      <xdr:row>5</xdr:row>
      <xdr:rowOff>15240</xdr:rowOff>
    </xdr:from>
    <xdr:to>
      <xdr:col>16</xdr:col>
      <xdr:colOff>403860</xdr:colOff>
      <xdr:row>11</xdr:row>
      <xdr:rowOff>22860</xdr:rowOff>
    </xdr:to>
    <xdr:sp macro="" textlink="">
      <xdr:nvSpPr>
        <xdr:cNvPr id="10" name="Ritaglia angolo stesso lato rettangolo 9"/>
        <xdr:cNvSpPr/>
      </xdr:nvSpPr>
      <xdr:spPr>
        <a:xfrm>
          <a:off x="9685020" y="929640"/>
          <a:ext cx="472440" cy="1135380"/>
        </a:xfrm>
        <a:prstGeom prst="snip2Same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15</xdr:col>
      <xdr:colOff>423237</xdr:colOff>
      <xdr:row>9</xdr:row>
      <xdr:rowOff>112023</xdr:rowOff>
    </xdr:from>
    <xdr:to>
      <xdr:col>15</xdr:col>
      <xdr:colOff>567993</xdr:colOff>
      <xdr:row>14</xdr:row>
      <xdr:rowOff>60615</xdr:rowOff>
    </xdr:to>
    <xdr:sp macro="" textlink="">
      <xdr:nvSpPr>
        <xdr:cNvPr id="11" name="Freccia a destra 10"/>
        <xdr:cNvSpPr/>
      </xdr:nvSpPr>
      <xdr:spPr>
        <a:xfrm rot="18011163">
          <a:off x="9200499" y="2155161"/>
          <a:ext cx="878232" cy="144756"/>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16</xdr:col>
      <xdr:colOff>440473</xdr:colOff>
      <xdr:row>10</xdr:row>
      <xdr:rowOff>12836</xdr:rowOff>
    </xdr:from>
    <xdr:to>
      <xdr:col>17</xdr:col>
      <xdr:colOff>2916</xdr:colOff>
      <xdr:row>14</xdr:row>
      <xdr:rowOff>51992</xdr:rowOff>
    </xdr:to>
    <xdr:sp macro="" textlink="">
      <xdr:nvSpPr>
        <xdr:cNvPr id="12" name="Freccia a destra 11"/>
        <xdr:cNvSpPr/>
      </xdr:nvSpPr>
      <xdr:spPr>
        <a:xfrm rot="14279546">
          <a:off x="9887137" y="2179052"/>
          <a:ext cx="785916" cy="172043"/>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13</xdr:col>
      <xdr:colOff>449580</xdr:colOff>
      <xdr:row>14</xdr:row>
      <xdr:rowOff>0</xdr:rowOff>
    </xdr:from>
    <xdr:to>
      <xdr:col>19</xdr:col>
      <xdr:colOff>335280</xdr:colOff>
      <xdr:row>14</xdr:row>
      <xdr:rowOff>0</xdr:rowOff>
    </xdr:to>
    <xdr:cxnSp macro="">
      <xdr:nvCxnSpPr>
        <xdr:cNvPr id="14" name="Connettore 1 13"/>
        <xdr:cNvCxnSpPr/>
      </xdr:nvCxnSpPr>
      <xdr:spPr>
        <a:xfrm>
          <a:off x="8374380" y="2606040"/>
          <a:ext cx="3543300" cy="0"/>
        </a:xfrm>
        <a:prstGeom prst="line">
          <a:avLst/>
        </a:prstGeom>
        <a:ln w="2540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281940</xdr:colOff>
      <xdr:row>10</xdr:row>
      <xdr:rowOff>175260</xdr:rowOff>
    </xdr:from>
    <xdr:to>
      <xdr:col>15</xdr:col>
      <xdr:colOff>289560</xdr:colOff>
      <xdr:row>13</xdr:row>
      <xdr:rowOff>137160</xdr:rowOff>
    </xdr:to>
    <xdr:cxnSp macro="">
      <xdr:nvCxnSpPr>
        <xdr:cNvPr id="17" name="Connettore 2 16"/>
        <xdr:cNvCxnSpPr/>
      </xdr:nvCxnSpPr>
      <xdr:spPr>
        <a:xfrm flipV="1">
          <a:off x="9425940" y="2034540"/>
          <a:ext cx="7620" cy="5105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175260</xdr:colOff>
      <xdr:row>9</xdr:row>
      <xdr:rowOff>114300</xdr:rowOff>
    </xdr:from>
    <xdr:to>
      <xdr:col>16</xdr:col>
      <xdr:colOff>182880</xdr:colOff>
      <xdr:row>13</xdr:row>
      <xdr:rowOff>38100</xdr:rowOff>
    </xdr:to>
    <xdr:cxnSp macro="">
      <xdr:nvCxnSpPr>
        <xdr:cNvPr id="23" name="Connettore 2 22"/>
        <xdr:cNvCxnSpPr/>
      </xdr:nvCxnSpPr>
      <xdr:spPr>
        <a:xfrm>
          <a:off x="9928860" y="1805940"/>
          <a:ext cx="7620" cy="670560"/>
        </a:xfrm>
        <a:prstGeom prst="straightConnector1">
          <a:avLst/>
        </a:prstGeom>
        <a:ln w="190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11</xdr:row>
      <xdr:rowOff>167640</xdr:rowOff>
    </xdr:from>
    <xdr:to>
      <xdr:col>17</xdr:col>
      <xdr:colOff>114300</xdr:colOff>
      <xdr:row>13</xdr:row>
      <xdr:rowOff>182880</xdr:rowOff>
    </xdr:to>
    <xdr:cxnSp macro="">
      <xdr:nvCxnSpPr>
        <xdr:cNvPr id="25" name="Connettore 2 24"/>
        <xdr:cNvCxnSpPr/>
      </xdr:nvCxnSpPr>
      <xdr:spPr>
        <a:xfrm flipV="1">
          <a:off x="10477500" y="2209800"/>
          <a:ext cx="0" cy="381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106680</xdr:colOff>
      <xdr:row>13</xdr:row>
      <xdr:rowOff>167640</xdr:rowOff>
    </xdr:from>
    <xdr:to>
      <xdr:col>18</xdr:col>
      <xdr:colOff>91440</xdr:colOff>
      <xdr:row>13</xdr:row>
      <xdr:rowOff>167640</xdr:rowOff>
    </xdr:to>
    <xdr:cxnSp macro="">
      <xdr:nvCxnSpPr>
        <xdr:cNvPr id="26" name="Connettore 2 25"/>
        <xdr:cNvCxnSpPr/>
      </xdr:nvCxnSpPr>
      <xdr:spPr>
        <a:xfrm>
          <a:off x="10469880" y="2575560"/>
          <a:ext cx="59436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281940</xdr:colOff>
      <xdr:row>13</xdr:row>
      <xdr:rowOff>152400</xdr:rowOff>
    </xdr:from>
    <xdr:to>
      <xdr:col>16</xdr:col>
      <xdr:colOff>289560</xdr:colOff>
      <xdr:row>13</xdr:row>
      <xdr:rowOff>152400</xdr:rowOff>
    </xdr:to>
    <xdr:cxnSp macro="">
      <xdr:nvCxnSpPr>
        <xdr:cNvPr id="28" name="Connettore 2 27"/>
        <xdr:cNvCxnSpPr/>
      </xdr:nvCxnSpPr>
      <xdr:spPr>
        <a:xfrm>
          <a:off x="9425940" y="2560320"/>
          <a:ext cx="61722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106680</xdr:colOff>
      <xdr:row>8</xdr:row>
      <xdr:rowOff>0</xdr:rowOff>
    </xdr:from>
    <xdr:to>
      <xdr:col>16</xdr:col>
      <xdr:colOff>205740</xdr:colOff>
      <xdr:row>8</xdr:row>
      <xdr:rowOff>7620</xdr:rowOff>
    </xdr:to>
    <xdr:cxnSp macro="">
      <xdr:nvCxnSpPr>
        <xdr:cNvPr id="40" name="Connettore 2 39"/>
        <xdr:cNvCxnSpPr/>
      </xdr:nvCxnSpPr>
      <xdr:spPr>
        <a:xfrm flipH="1">
          <a:off x="9250680" y="1493520"/>
          <a:ext cx="708660" cy="7620"/>
        </a:xfrm>
        <a:prstGeom prst="straightConnector1">
          <a:avLst/>
        </a:prstGeom>
        <a:ln w="19050">
          <a:solidFill>
            <a:srgbClr val="7030A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99060</xdr:colOff>
      <xdr:row>18</xdr:row>
      <xdr:rowOff>110490</xdr:rowOff>
    </xdr:from>
    <xdr:ext cx="2750820" cy="275460"/>
    <mc:AlternateContent xmlns:mc="http://schemas.openxmlformats.org/markup-compatibility/2006" xmlns:a14="http://schemas.microsoft.com/office/drawing/2010/main">
      <mc:Choice Requires="a14">
        <xdr:sp macro="" textlink="">
          <xdr:nvSpPr>
            <xdr:cNvPr id="42" name="CasellaDiTesto 41"/>
            <xdr:cNvSpPr txBox="1"/>
          </xdr:nvSpPr>
          <xdr:spPr>
            <a:xfrm>
              <a:off x="8633460" y="3448050"/>
              <a:ext cx="2750820" cy="2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it-IT" sz="1100" b="0" i="1">
                      <a:latin typeface="Cambria Math"/>
                    </a:rPr>
                    <m:t>−</m:t>
                  </m:r>
                  <m:r>
                    <a:rPr lang="it-IT" sz="1100" b="0" i="1">
                      <a:latin typeface="Cambria Math"/>
                    </a:rPr>
                    <m:t>𝐹</m:t>
                  </m:r>
                  <m:sSub>
                    <m:sSubPr>
                      <m:ctrlPr>
                        <a:rPr lang="it-IT" sz="1100" b="0" i="1">
                          <a:latin typeface="Cambria Math"/>
                        </a:rPr>
                      </m:ctrlPr>
                    </m:sSubPr>
                    <m:e>
                      <m:r>
                        <a:rPr lang="it-IT" sz="1100" b="0" i="1">
                          <a:latin typeface="Cambria Math"/>
                        </a:rPr>
                        <m:t>𝑦</m:t>
                      </m:r>
                    </m:e>
                    <m:sub>
                      <m:r>
                        <a:rPr lang="it-IT" sz="1100" b="0" i="1">
                          <a:latin typeface="Cambria Math"/>
                        </a:rPr>
                        <m:t>𝑓</m:t>
                      </m:r>
                      <m:r>
                        <a:rPr lang="it-IT" sz="1100" b="0" i="1">
                          <a:latin typeface="Cambria Math"/>
                        </a:rPr>
                        <m:t> </m:t>
                      </m:r>
                    </m:sub>
                  </m:sSub>
                </m:oMath>
              </a14:m>
              <a:r>
                <a:rPr lang="it-IT" sz="1100"/>
                <a:t>+ k</a:t>
              </a:r>
              <a14:m>
                <m:oMath xmlns:m="http://schemas.openxmlformats.org/officeDocument/2006/math">
                  <m:sSub>
                    <m:sSubPr>
                      <m:ctrlPr>
                        <a:rPr lang="it-IT" sz="1100" i="1">
                          <a:latin typeface="Cambria Math"/>
                        </a:rPr>
                      </m:ctrlPr>
                    </m:sSubPr>
                    <m:e>
                      <m:r>
                        <a:rPr lang="it-IT" sz="1100" b="0" i="1">
                          <a:latin typeface="Cambria Math"/>
                        </a:rPr>
                        <m:t>𝑥</m:t>
                      </m:r>
                    </m:e>
                    <m:sub>
                      <m:r>
                        <a:rPr lang="it-IT" sz="1100" b="0" i="1">
                          <a:latin typeface="Cambria Math"/>
                        </a:rPr>
                        <m:t>𝑏</m:t>
                      </m:r>
                    </m:sub>
                  </m:sSub>
                </m:oMath>
              </a14:m>
              <a:r>
                <a:rPr lang="it-IT" sz="1100"/>
                <a:t>p - (1-k)</a:t>
              </a:r>
              <a14:m>
                <m:oMath xmlns:m="http://schemas.openxmlformats.org/officeDocument/2006/math">
                  <m:sSub>
                    <m:sSubPr>
                      <m:ctrlPr>
                        <a:rPr lang="it-IT" sz="1100" i="1">
                          <a:solidFill>
                            <a:schemeClr val="tx1"/>
                          </a:solidFill>
                          <a:effectLst/>
                          <a:latin typeface="Cambria Math"/>
                          <a:ea typeface="+mn-ea"/>
                          <a:cs typeface="+mn-cs"/>
                        </a:rPr>
                      </m:ctrlPr>
                    </m:sSubPr>
                    <m:e>
                      <m:r>
                        <a:rPr lang="it-IT" sz="1100" b="0" i="1">
                          <a:solidFill>
                            <a:schemeClr val="tx1"/>
                          </a:solidFill>
                          <a:effectLst/>
                          <a:latin typeface="Cambria Math"/>
                          <a:ea typeface="+mn-ea"/>
                          <a:cs typeface="+mn-cs"/>
                        </a:rPr>
                        <m:t>𝑥</m:t>
                      </m:r>
                    </m:e>
                    <m:sub>
                      <m:r>
                        <a:rPr lang="it-IT" sz="1100" b="0" i="1">
                          <a:solidFill>
                            <a:schemeClr val="tx1"/>
                          </a:solidFill>
                          <a:effectLst/>
                          <a:latin typeface="Cambria Math"/>
                          <a:ea typeface="+mn-ea"/>
                          <a:cs typeface="+mn-cs"/>
                        </a:rPr>
                        <m:t>𝑏</m:t>
                      </m:r>
                    </m:sub>
                  </m:sSub>
                </m:oMath>
              </a14:m>
              <a:r>
                <a:rPr lang="it-IT" sz="1100">
                  <a:solidFill>
                    <a:schemeClr val="tx1"/>
                  </a:solidFill>
                  <a:effectLst/>
                  <a:latin typeface="+mn-lt"/>
                  <a:ea typeface="+mn-ea"/>
                  <a:cs typeface="+mn-cs"/>
                </a:rPr>
                <a:t>p  =0</a:t>
              </a:r>
              <a:endParaRPr lang="it-IT" sz="1100"/>
            </a:p>
          </xdr:txBody>
        </xdr:sp>
      </mc:Choice>
      <mc:Fallback xmlns="">
        <xdr:sp macro="" textlink="">
          <xdr:nvSpPr>
            <xdr:cNvPr id="42" name="CasellaDiTesto 41"/>
            <xdr:cNvSpPr txBox="1"/>
          </xdr:nvSpPr>
          <xdr:spPr>
            <a:xfrm>
              <a:off x="8633460" y="3448050"/>
              <a:ext cx="2750820" cy="2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b="0" i="0">
                  <a:latin typeface="Cambria Math"/>
                </a:rPr>
                <a:t>−𝐹𝑦_(𝑓 )</a:t>
              </a:r>
              <a:r>
                <a:rPr lang="it-IT" sz="1100"/>
                <a:t>+ k</a:t>
              </a:r>
              <a:r>
                <a:rPr lang="it-IT" sz="1100" b="0" i="0">
                  <a:latin typeface="Cambria Math"/>
                </a:rPr>
                <a:t>𝑥_𝑏</a:t>
              </a:r>
              <a:r>
                <a:rPr lang="it-IT" sz="1100"/>
                <a:t>p - (1-k)</a:t>
              </a:r>
              <a:r>
                <a:rPr lang="it-IT" sz="1100" b="0" i="0">
                  <a:solidFill>
                    <a:schemeClr val="tx1"/>
                  </a:solidFill>
                  <a:effectLst/>
                  <a:latin typeface="Cambria Math"/>
                  <a:ea typeface="+mn-ea"/>
                  <a:cs typeface="+mn-cs"/>
                </a:rPr>
                <a:t>𝑥_𝑏</a:t>
              </a:r>
              <a:r>
                <a:rPr lang="it-IT" sz="1100">
                  <a:solidFill>
                    <a:schemeClr val="tx1"/>
                  </a:solidFill>
                  <a:effectLst/>
                  <a:latin typeface="+mn-lt"/>
                  <a:ea typeface="+mn-ea"/>
                  <a:cs typeface="+mn-cs"/>
                </a:rPr>
                <a:t>p  =0</a:t>
              </a:r>
              <a:endParaRPr lang="it-IT" sz="1100"/>
            </a:p>
          </xdr:txBody>
        </xdr:sp>
      </mc:Fallback>
    </mc:AlternateContent>
    <xdr:clientData/>
  </xdr:oneCellAnchor>
  <xdr:oneCellAnchor>
    <xdr:from>
      <xdr:col>14</xdr:col>
      <xdr:colOff>15240</xdr:colOff>
      <xdr:row>26</xdr:row>
      <xdr:rowOff>110490</xdr:rowOff>
    </xdr:from>
    <xdr:ext cx="914400" cy="384592"/>
    <mc:AlternateContent xmlns:mc="http://schemas.openxmlformats.org/markup-compatibility/2006" xmlns:a14="http://schemas.microsoft.com/office/drawing/2010/main">
      <mc:Choice Requires="a14">
        <xdr:sp macro="" textlink="">
          <xdr:nvSpPr>
            <xdr:cNvPr id="43" name="CasellaDiTesto 42"/>
            <xdr:cNvSpPr txBox="1"/>
          </xdr:nvSpPr>
          <xdr:spPr>
            <a:xfrm>
              <a:off x="8549640" y="4911090"/>
              <a:ext cx="914400" cy="384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14:m>
                <m:oMath xmlns:m="http://schemas.openxmlformats.org/officeDocument/2006/math">
                  <m:f>
                    <m:fPr>
                      <m:ctrlPr>
                        <a:rPr lang="it-IT" sz="1100" i="1">
                          <a:solidFill>
                            <a:schemeClr val="tx1"/>
                          </a:solidFill>
                          <a:effectLst/>
                          <a:latin typeface="Cambria Math"/>
                          <a:ea typeface="+mn-ea"/>
                          <a:cs typeface="+mn-cs"/>
                        </a:rPr>
                      </m:ctrlPr>
                    </m:fPr>
                    <m:num>
                      <m:r>
                        <a:rPr lang="it-IT" sz="1100" b="0" i="1">
                          <a:solidFill>
                            <a:schemeClr val="tx1"/>
                          </a:solidFill>
                          <a:effectLst/>
                          <a:latin typeface="Cambria Math"/>
                          <a:ea typeface="+mn-ea"/>
                          <a:cs typeface="+mn-cs"/>
                        </a:rPr>
                        <m:t>𝐹</m:t>
                      </m:r>
                      <m:sSub>
                        <m:sSubPr>
                          <m:ctrlPr>
                            <a:rPr lang="it-IT" sz="1100" b="0" i="1">
                              <a:solidFill>
                                <a:schemeClr val="tx1"/>
                              </a:solidFill>
                              <a:effectLst/>
                              <a:latin typeface="Cambria Math"/>
                              <a:ea typeface="+mn-ea"/>
                              <a:cs typeface="+mn-cs"/>
                            </a:rPr>
                          </m:ctrlPr>
                        </m:sSubPr>
                        <m:e>
                          <m:r>
                            <a:rPr lang="it-IT" sz="1100" b="0" i="1">
                              <a:solidFill>
                                <a:schemeClr val="tx1"/>
                              </a:solidFill>
                              <a:effectLst/>
                              <a:latin typeface="Cambria Math"/>
                              <a:ea typeface="+mn-ea"/>
                              <a:cs typeface="+mn-cs"/>
                            </a:rPr>
                            <m:t>𝑦</m:t>
                          </m:r>
                        </m:e>
                        <m:sub>
                          <m:r>
                            <a:rPr lang="it-IT" sz="1100" b="0" i="1">
                              <a:solidFill>
                                <a:schemeClr val="tx1"/>
                              </a:solidFill>
                              <a:effectLst/>
                              <a:latin typeface="Cambria Math"/>
                              <a:ea typeface="+mn-ea"/>
                              <a:cs typeface="+mn-cs"/>
                            </a:rPr>
                            <m:t>𝑓</m:t>
                          </m:r>
                        </m:sub>
                      </m:sSub>
                    </m:num>
                    <m:den>
                      <m:r>
                        <a:rPr lang="it-IT" sz="1100" b="0" i="1">
                          <a:solidFill>
                            <a:schemeClr val="tx1"/>
                          </a:solidFill>
                          <a:effectLst/>
                          <a:latin typeface="Cambria Math"/>
                          <a:ea typeface="+mn-ea"/>
                          <a:cs typeface="+mn-cs"/>
                        </a:rPr>
                        <m:t>𝑝</m:t>
                      </m:r>
                      <m:sSub>
                        <m:sSubPr>
                          <m:ctrlPr>
                            <a:rPr lang="it-IT" sz="1100" b="0" i="1">
                              <a:solidFill>
                                <a:schemeClr val="tx1"/>
                              </a:solidFill>
                              <a:effectLst/>
                              <a:latin typeface="Cambria Math"/>
                              <a:ea typeface="+mn-ea"/>
                              <a:cs typeface="+mn-cs"/>
                            </a:rPr>
                          </m:ctrlPr>
                        </m:sSubPr>
                        <m:e>
                          <m:r>
                            <a:rPr lang="it-IT" sz="1100" b="0" i="1">
                              <a:solidFill>
                                <a:schemeClr val="tx1"/>
                              </a:solidFill>
                              <a:effectLst/>
                              <a:latin typeface="Cambria Math"/>
                              <a:ea typeface="+mn-ea"/>
                              <a:cs typeface="+mn-cs"/>
                            </a:rPr>
                            <m:t>𝑥</m:t>
                          </m:r>
                        </m:e>
                        <m:sub>
                          <m:r>
                            <a:rPr lang="it-IT" sz="1100" b="0" i="1">
                              <a:solidFill>
                                <a:schemeClr val="tx1"/>
                              </a:solidFill>
                              <a:effectLst/>
                              <a:latin typeface="Cambria Math"/>
                              <a:ea typeface="+mn-ea"/>
                              <a:cs typeface="+mn-cs"/>
                            </a:rPr>
                            <m:t>𝑏</m:t>
                          </m:r>
                        </m:sub>
                      </m:sSub>
                    </m:den>
                  </m:f>
                </m:oMath>
              </a14:m>
              <a:r>
                <a:rPr lang="it-IT" sz="1100"/>
                <a:t> = 1</a:t>
              </a:r>
            </a:p>
          </xdr:txBody>
        </xdr:sp>
      </mc:Choice>
      <mc:Fallback xmlns="">
        <xdr:sp macro="" textlink="">
          <xdr:nvSpPr>
            <xdr:cNvPr id="43" name="CasellaDiTesto 42"/>
            <xdr:cNvSpPr txBox="1"/>
          </xdr:nvSpPr>
          <xdr:spPr>
            <a:xfrm>
              <a:off x="8549640" y="4911090"/>
              <a:ext cx="914400" cy="384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it-IT" sz="1100" i="0">
                  <a:solidFill>
                    <a:schemeClr val="tx1"/>
                  </a:solidFill>
                  <a:effectLst/>
                  <a:latin typeface="+mn-lt"/>
                  <a:ea typeface="+mn-ea"/>
                  <a:cs typeface="+mn-cs"/>
                </a:rPr>
                <a:t>(</a:t>
              </a:r>
              <a:r>
                <a:rPr lang="it-IT" sz="1100" b="0" i="0">
                  <a:solidFill>
                    <a:schemeClr val="tx1"/>
                  </a:solidFill>
                  <a:effectLst/>
                  <a:latin typeface="+mn-lt"/>
                  <a:ea typeface="+mn-ea"/>
                  <a:cs typeface="+mn-cs"/>
                </a:rPr>
                <a:t>𝐹𝑦_𝑓)/(𝑝𝑥_𝑏 )</a:t>
              </a:r>
              <a:r>
                <a:rPr lang="it-IT" sz="1100"/>
                <a:t> = 1</a:t>
              </a:r>
            </a:p>
          </xdr:txBody>
        </xdr:sp>
      </mc:Fallback>
    </mc:AlternateContent>
    <xdr:clientData/>
  </xdr:oneCellAnchor>
  <xdr:twoCellAnchor>
    <xdr:from>
      <xdr:col>5</xdr:col>
      <xdr:colOff>322366</xdr:colOff>
      <xdr:row>19</xdr:row>
      <xdr:rowOff>41274</xdr:rowOff>
    </xdr:from>
    <xdr:to>
      <xdr:col>14</xdr:col>
      <xdr:colOff>18005</xdr:colOff>
      <xdr:row>21</xdr:row>
      <xdr:rowOff>740</xdr:rowOff>
    </xdr:to>
    <xdr:sp macro="" textlink="">
      <xdr:nvSpPr>
        <xdr:cNvPr id="53" name="Freccia curva 52"/>
        <xdr:cNvSpPr/>
      </xdr:nvSpPr>
      <xdr:spPr>
        <a:xfrm rot="11498944">
          <a:off x="3370366" y="3546474"/>
          <a:ext cx="5182039" cy="325226"/>
        </a:xfrm>
        <a:prstGeom prst="bentArrow">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solidFill>
              <a:schemeClr val="tx1"/>
            </a:solidFill>
          </a:endParaRPr>
        </a:p>
      </xdr:txBody>
    </xdr:sp>
    <xdr:clientData/>
  </xdr:twoCellAnchor>
  <xdr:twoCellAnchor>
    <xdr:from>
      <xdr:col>15</xdr:col>
      <xdr:colOff>301515</xdr:colOff>
      <xdr:row>13</xdr:row>
      <xdr:rowOff>169743</xdr:rowOff>
    </xdr:from>
    <xdr:to>
      <xdr:col>15</xdr:col>
      <xdr:colOff>304800</xdr:colOff>
      <xdr:row>16</xdr:row>
      <xdr:rowOff>68580</xdr:rowOff>
    </xdr:to>
    <xdr:cxnSp macro="">
      <xdr:nvCxnSpPr>
        <xdr:cNvPr id="55" name="Connettore 1 54"/>
        <xdr:cNvCxnSpPr/>
      </xdr:nvCxnSpPr>
      <xdr:spPr>
        <a:xfrm>
          <a:off x="9445515" y="2592903"/>
          <a:ext cx="3285" cy="447477"/>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175260</xdr:colOff>
      <xdr:row>10</xdr:row>
      <xdr:rowOff>83820</xdr:rowOff>
    </xdr:from>
    <xdr:to>
      <xdr:col>16</xdr:col>
      <xdr:colOff>182880</xdr:colOff>
      <xdr:row>16</xdr:row>
      <xdr:rowOff>60960</xdr:rowOff>
    </xdr:to>
    <xdr:cxnSp macro="">
      <xdr:nvCxnSpPr>
        <xdr:cNvPr id="61" name="Connettore 1 60"/>
        <xdr:cNvCxnSpPr/>
      </xdr:nvCxnSpPr>
      <xdr:spPr>
        <a:xfrm>
          <a:off x="9928860" y="1958340"/>
          <a:ext cx="7620" cy="108966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297180</xdr:colOff>
      <xdr:row>16</xdr:row>
      <xdr:rowOff>0</xdr:rowOff>
    </xdr:from>
    <xdr:to>
      <xdr:col>16</xdr:col>
      <xdr:colOff>213360</xdr:colOff>
      <xdr:row>16</xdr:row>
      <xdr:rowOff>7620</xdr:rowOff>
    </xdr:to>
    <xdr:cxnSp macro="">
      <xdr:nvCxnSpPr>
        <xdr:cNvPr id="65" name="Connettore 1 64"/>
        <xdr:cNvCxnSpPr/>
      </xdr:nvCxnSpPr>
      <xdr:spPr>
        <a:xfrm flipV="1">
          <a:off x="9441180" y="2971800"/>
          <a:ext cx="525780"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213360</xdr:colOff>
      <xdr:row>7</xdr:row>
      <xdr:rowOff>175260</xdr:rowOff>
    </xdr:from>
    <xdr:to>
      <xdr:col>14</xdr:col>
      <xdr:colOff>228600</xdr:colOff>
      <xdr:row>14</xdr:row>
      <xdr:rowOff>0</xdr:rowOff>
    </xdr:to>
    <xdr:cxnSp macro="">
      <xdr:nvCxnSpPr>
        <xdr:cNvPr id="67" name="Connettore 1 66"/>
        <xdr:cNvCxnSpPr/>
      </xdr:nvCxnSpPr>
      <xdr:spPr>
        <a:xfrm flipH="1">
          <a:off x="8747760" y="1501140"/>
          <a:ext cx="15240" cy="1104900"/>
        </a:xfrm>
        <a:prstGeom prst="line">
          <a:avLst/>
        </a:prstGeom>
        <a:ln>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220980</xdr:colOff>
      <xdr:row>8</xdr:row>
      <xdr:rowOff>7620</xdr:rowOff>
    </xdr:from>
    <xdr:to>
      <xdr:col>15</xdr:col>
      <xdr:colOff>137160</xdr:colOff>
      <xdr:row>8</xdr:row>
      <xdr:rowOff>15240</xdr:rowOff>
    </xdr:to>
    <xdr:cxnSp macro="">
      <xdr:nvCxnSpPr>
        <xdr:cNvPr id="71" name="Connettore 1 70"/>
        <xdr:cNvCxnSpPr/>
      </xdr:nvCxnSpPr>
      <xdr:spPr>
        <a:xfrm flipV="1">
          <a:off x="8755380" y="1516380"/>
          <a:ext cx="525780" cy="762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160020</xdr:colOff>
      <xdr:row>19</xdr:row>
      <xdr:rowOff>83820</xdr:rowOff>
    </xdr:from>
    <xdr:to>
      <xdr:col>5</xdr:col>
      <xdr:colOff>411480</xdr:colOff>
      <xdr:row>30</xdr:row>
      <xdr:rowOff>7620</xdr:rowOff>
    </xdr:to>
    <xdr:sp macro="" textlink="">
      <xdr:nvSpPr>
        <xdr:cNvPr id="4" name="CasellaDiTesto 3"/>
        <xdr:cNvSpPr txBox="1"/>
      </xdr:nvSpPr>
      <xdr:spPr>
        <a:xfrm>
          <a:off x="769620" y="3634740"/>
          <a:ext cx="2689860" cy="201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Questo SHEET mostra</a:t>
          </a:r>
          <a:r>
            <a:rPr lang="it-IT" sz="1100" baseline="0"/>
            <a:t> (</a:t>
          </a:r>
          <a:r>
            <a:rPr lang="it-IT" sz="1100" b="1" baseline="0"/>
            <a:t>sopra</a:t>
          </a:r>
          <a:r>
            <a:rPr lang="it-IT" sz="1100" b="0" baseline="0"/>
            <a:t>)</a:t>
          </a:r>
          <a:r>
            <a:rPr lang="it-IT" sz="1100" baseline="0"/>
            <a:t>, con un modello bidimensionale semplificato, che la tempesta di vento marziano non riesce a ribaltare il MAV. </a:t>
          </a:r>
        </a:p>
        <a:p>
          <a:r>
            <a:rPr lang="it-IT" sz="1100" b="1" baseline="0"/>
            <a:t>In basso a destra </a:t>
          </a:r>
          <a:r>
            <a:rPr lang="it-IT" sz="1100" baseline="0"/>
            <a:t>si calcola la forza F</a:t>
          </a:r>
          <a:r>
            <a:rPr lang="it-IT" sz="1100" baseline="-25000"/>
            <a:t>lim</a:t>
          </a:r>
          <a:r>
            <a:rPr lang="it-IT" sz="1100" baseline="0"/>
            <a:t> del vento (44186 N) che sarebbe necessaria a ribaltare il MAV.</a:t>
          </a:r>
        </a:p>
        <a:p>
          <a:r>
            <a:rPr lang="it-IT" sz="1100" baseline="0"/>
            <a:t>Questa forza è inferiore alla forza F (65731 N) che si avrebbe per una uguale tempesta terrestre: dove si avrebbe rovesciamento.</a:t>
          </a:r>
        </a:p>
        <a:p>
          <a:endParaRPr lang="it-IT"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60960</xdr:colOff>
      <xdr:row>14</xdr:row>
      <xdr:rowOff>110490</xdr:rowOff>
    </xdr:from>
    <xdr:to>
      <xdr:col>8</xdr:col>
      <xdr:colOff>365760</xdr:colOff>
      <xdr:row>31</xdr:row>
      <xdr:rowOff>110490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518160</xdr:colOff>
      <xdr:row>3</xdr:row>
      <xdr:rowOff>114300</xdr:rowOff>
    </xdr:from>
    <xdr:ext cx="1173480" cy="561203"/>
    <mc:AlternateContent xmlns:mc="http://schemas.openxmlformats.org/markup-compatibility/2006" xmlns:a14="http://schemas.microsoft.com/office/drawing/2010/main">
      <mc:Choice Requires="a14">
        <xdr:sp macro="" textlink="">
          <xdr:nvSpPr>
            <xdr:cNvPr id="3" name="CasellaDiTesto 2"/>
            <xdr:cNvSpPr txBox="1"/>
          </xdr:nvSpPr>
          <xdr:spPr>
            <a:xfrm>
              <a:off x="6614160" y="1623060"/>
              <a:ext cx="1173480" cy="561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it-IT" sz="1400" b="0" i="1">
                        <a:latin typeface="Cambria Math"/>
                      </a:rPr>
                      <m:t>𝑔</m:t>
                    </m:r>
                    <m:r>
                      <a:rPr lang="it-IT" sz="1400" b="0" i="1">
                        <a:latin typeface="Cambria Math"/>
                      </a:rPr>
                      <m:t>=</m:t>
                    </m:r>
                    <m:f>
                      <m:fPr>
                        <m:ctrlPr>
                          <a:rPr lang="it-IT" sz="1400" b="0" i="1">
                            <a:latin typeface="Cambria Math"/>
                          </a:rPr>
                        </m:ctrlPr>
                      </m:fPr>
                      <m:num>
                        <m:r>
                          <a:rPr lang="it-IT" sz="1400" b="0" i="1">
                            <a:latin typeface="Cambria Math"/>
                          </a:rPr>
                          <m:t>𝑘𝑀</m:t>
                        </m:r>
                      </m:num>
                      <m:den>
                        <m:sSup>
                          <m:sSupPr>
                            <m:ctrlPr>
                              <a:rPr lang="it-IT" sz="1400" b="0" i="1">
                                <a:latin typeface="Cambria Math"/>
                              </a:rPr>
                            </m:ctrlPr>
                          </m:sSupPr>
                          <m:e>
                            <m:r>
                              <a:rPr lang="it-IT" sz="1400" b="0" i="1">
                                <a:latin typeface="Cambria Math"/>
                              </a:rPr>
                              <m:t>𝐷</m:t>
                            </m:r>
                          </m:e>
                          <m:sup>
                            <m:r>
                              <a:rPr lang="it-IT" sz="1400" b="0" i="1">
                                <a:latin typeface="Cambria Math"/>
                              </a:rPr>
                              <m:t>2</m:t>
                            </m:r>
                          </m:sup>
                        </m:sSup>
                      </m:den>
                    </m:f>
                  </m:oMath>
                </m:oMathPara>
              </a14:m>
              <a:endParaRPr lang="it-IT" sz="1400"/>
            </a:p>
          </xdr:txBody>
        </xdr:sp>
      </mc:Choice>
      <mc:Fallback xmlns="">
        <xdr:sp macro="" textlink="">
          <xdr:nvSpPr>
            <xdr:cNvPr id="3" name="CasellaDiTesto 2"/>
            <xdr:cNvSpPr txBox="1"/>
          </xdr:nvSpPr>
          <xdr:spPr>
            <a:xfrm>
              <a:off x="6614160" y="1623060"/>
              <a:ext cx="1173480" cy="561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i="0">
                  <a:latin typeface="Cambria Math"/>
                </a:rPr>
                <a:t>𝑔=𝑘𝑀/𝐷^2 </a:t>
              </a:r>
              <a:endParaRPr lang="it-IT" sz="14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9</xdr:col>
      <xdr:colOff>1516380</xdr:colOff>
      <xdr:row>21</xdr:row>
      <xdr:rowOff>64770</xdr:rowOff>
    </xdr:from>
    <xdr:ext cx="1356360" cy="593432"/>
    <mc:AlternateContent xmlns:mc="http://schemas.openxmlformats.org/markup-compatibility/2006" xmlns:a14="http://schemas.microsoft.com/office/drawing/2010/main">
      <mc:Choice Requires="a14">
        <xdr:sp macro="" textlink="">
          <xdr:nvSpPr>
            <xdr:cNvPr id="13" name="CasellaDiTesto 12"/>
            <xdr:cNvSpPr txBox="1"/>
          </xdr:nvSpPr>
          <xdr:spPr>
            <a:xfrm>
              <a:off x="7642860" y="3691890"/>
              <a:ext cx="1356360" cy="593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it-IT" sz="1600" i="1">
                          <a:latin typeface="Cambria Math"/>
                        </a:rPr>
                      </m:ctrlPr>
                    </m:sSubPr>
                    <m:e>
                      <m:r>
                        <a:rPr lang="it-IT" sz="1600" b="0" i="1">
                          <a:latin typeface="Cambria Math"/>
                        </a:rPr>
                        <m:t>𝑣</m:t>
                      </m:r>
                    </m:e>
                    <m:sub>
                      <m:r>
                        <a:rPr lang="it-IT" sz="1600" b="0" i="1">
                          <a:latin typeface="Cambria Math"/>
                        </a:rPr>
                        <m:t>𝑔</m:t>
                      </m:r>
                    </m:sub>
                  </m:sSub>
                </m:oMath>
              </a14:m>
              <a:r>
                <a:rPr lang="it-IT" sz="1600"/>
                <a:t> = 250</a:t>
              </a:r>
              <a14:m>
                <m:oMath xmlns:m="http://schemas.openxmlformats.org/officeDocument/2006/math">
                  <m:rad>
                    <m:radPr>
                      <m:degHide m:val="on"/>
                      <m:ctrlPr>
                        <a:rPr lang="it-IT" sz="1600" i="1">
                          <a:latin typeface="Cambria Math"/>
                        </a:rPr>
                      </m:ctrlPr>
                    </m:radPr>
                    <m:deg/>
                    <m:e>
                      <m:f>
                        <m:fPr>
                          <m:ctrlPr>
                            <a:rPr lang="it-IT" sz="1600" i="1">
                              <a:latin typeface="Cambria Math"/>
                            </a:rPr>
                          </m:ctrlPr>
                        </m:fPr>
                        <m:num>
                          <m:sSub>
                            <m:sSubPr>
                              <m:ctrlPr>
                                <a:rPr lang="it-IT" sz="1600" i="1">
                                  <a:latin typeface="Cambria Math"/>
                                </a:rPr>
                              </m:ctrlPr>
                            </m:sSubPr>
                            <m:e>
                              <m:r>
                                <a:rPr lang="it-IT" sz="1600" b="0" i="1">
                                  <a:latin typeface="Cambria Math"/>
                                </a:rPr>
                                <m:t>𝑇</m:t>
                              </m:r>
                            </m:e>
                            <m:sub>
                              <m:r>
                                <a:rPr lang="it-IT" sz="1600" b="0" i="1">
                                  <a:latin typeface="Cambria Math"/>
                                </a:rPr>
                                <m:t>𝑔</m:t>
                              </m:r>
                            </m:sub>
                          </m:sSub>
                        </m:num>
                        <m:den>
                          <m:r>
                            <a:rPr lang="it-IT" sz="1600" b="0" i="1">
                              <a:latin typeface="Cambria Math"/>
                            </a:rPr>
                            <m:t>𝑃𝑀</m:t>
                          </m:r>
                        </m:den>
                      </m:f>
                    </m:e>
                  </m:rad>
                </m:oMath>
              </a14:m>
              <a:endParaRPr lang="it-IT" sz="1600"/>
            </a:p>
          </xdr:txBody>
        </xdr:sp>
      </mc:Choice>
      <mc:Fallback xmlns="">
        <xdr:sp macro="" textlink="">
          <xdr:nvSpPr>
            <xdr:cNvPr id="13" name="CasellaDiTesto 12"/>
            <xdr:cNvSpPr txBox="1"/>
          </xdr:nvSpPr>
          <xdr:spPr>
            <a:xfrm>
              <a:off x="7642860" y="3691890"/>
              <a:ext cx="1356360" cy="593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600" b="0" i="0">
                  <a:latin typeface="Cambria Math"/>
                </a:rPr>
                <a:t>𝑣_𝑔</a:t>
              </a:r>
              <a:r>
                <a:rPr lang="it-IT" sz="1600"/>
                <a:t> = 250</a:t>
              </a:r>
              <a:r>
                <a:rPr lang="it-IT" sz="1600" i="0">
                  <a:latin typeface="Cambria Math"/>
                </a:rPr>
                <a:t>√(</a:t>
              </a:r>
              <a:r>
                <a:rPr lang="it-IT" sz="1600" b="0" i="0">
                  <a:latin typeface="Cambria Math"/>
                </a:rPr>
                <a:t>𝑇_𝑔/𝑃𝑀)</a:t>
              </a:r>
              <a:endParaRPr lang="it-IT" sz="1600"/>
            </a:p>
          </xdr:txBody>
        </xdr:sp>
      </mc:Fallback>
    </mc:AlternateContent>
    <xdr:clientData/>
  </xdr:oneCellAnchor>
  <xdr:twoCellAnchor editAs="oneCell">
    <xdr:from>
      <xdr:col>1</xdr:col>
      <xdr:colOff>259079</xdr:colOff>
      <xdr:row>21</xdr:row>
      <xdr:rowOff>106680</xdr:rowOff>
    </xdr:from>
    <xdr:to>
      <xdr:col>9</xdr:col>
      <xdr:colOff>236492</xdr:colOff>
      <xdr:row>28</xdr:row>
      <xdr:rowOff>137160</xdr:rowOff>
    </xdr:to>
    <xdr:pic>
      <xdr:nvPicPr>
        <xdr:cNvPr id="15" name="Immagin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8679" y="3733800"/>
          <a:ext cx="5494293" cy="1264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7620</xdr:colOff>
      <xdr:row>2</xdr:row>
      <xdr:rowOff>140970</xdr:rowOff>
    </xdr:from>
    <xdr:ext cx="1798320" cy="781240"/>
    <mc:AlternateContent xmlns:mc="http://schemas.openxmlformats.org/markup-compatibility/2006" xmlns:a14="http://schemas.microsoft.com/office/drawing/2010/main">
      <mc:Choice Requires="a14">
        <xdr:sp macro="" textlink="">
          <xdr:nvSpPr>
            <xdr:cNvPr id="3" name="CasellaDiTesto 2"/>
            <xdr:cNvSpPr txBox="1"/>
          </xdr:nvSpPr>
          <xdr:spPr>
            <a:xfrm>
              <a:off x="617220" y="476250"/>
              <a:ext cx="179832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a:t>ORBITA CIRCOLARE MAV - VELOCITA' COSTANTE </a:t>
              </a:r>
              <a14:m>
                <m:oMath xmlns:m="http://schemas.openxmlformats.org/officeDocument/2006/math">
                  <m:sSub>
                    <m:sSubPr>
                      <m:ctrlPr>
                        <a:rPr lang="it-IT" sz="1100" i="1">
                          <a:latin typeface="Cambria Math"/>
                        </a:rPr>
                      </m:ctrlPr>
                    </m:sSubPr>
                    <m:e>
                      <m:r>
                        <a:rPr lang="it-IT" sz="1100" b="0" i="1">
                          <a:latin typeface="Cambria Math"/>
                        </a:rPr>
                        <m:t>𝑣</m:t>
                      </m:r>
                    </m:e>
                    <m:sub>
                      <m:r>
                        <a:rPr lang="it-IT" sz="1100" b="0" i="1">
                          <a:latin typeface="Cambria Math"/>
                        </a:rPr>
                        <m:t>𝑀𝐴𝑉</m:t>
                      </m:r>
                      <m:r>
                        <a:rPr lang="it-IT" sz="1100" b="0" i="1">
                          <a:latin typeface="Cambria Math"/>
                        </a:rPr>
                        <m:t> </m:t>
                      </m:r>
                    </m:sub>
                  </m:sSub>
                  <m:r>
                    <a:rPr lang="it-IT" sz="1100" b="0" i="1">
                      <a:latin typeface="Cambria Math"/>
                    </a:rPr>
                    <m:t>=</m:t>
                  </m:r>
                  <m:rad>
                    <m:radPr>
                      <m:degHide m:val="on"/>
                      <m:ctrlPr>
                        <a:rPr lang="it-IT" sz="1100" b="0" i="1">
                          <a:latin typeface="Cambria Math"/>
                        </a:rPr>
                      </m:ctrlPr>
                    </m:radPr>
                    <m:deg/>
                    <m:e>
                      <m:f>
                        <m:fPr>
                          <m:ctrlPr>
                            <a:rPr lang="it-IT" sz="1100" b="0" i="1">
                              <a:latin typeface="Cambria Math"/>
                            </a:rPr>
                          </m:ctrlPr>
                        </m:fPr>
                        <m:num>
                          <m:r>
                            <a:rPr lang="it-IT" sz="1100" b="0" i="1">
                              <a:latin typeface="Cambria Math"/>
                            </a:rPr>
                            <m:t>2</m:t>
                          </m:r>
                          <m:r>
                            <a:rPr lang="it-IT" sz="1100" b="0" i="1">
                              <a:latin typeface="Cambria Math"/>
                            </a:rPr>
                            <m:t>𝑘𝑀</m:t>
                          </m:r>
                        </m:num>
                        <m:den>
                          <m:r>
                            <a:rPr lang="it-IT" sz="1100" b="0" i="1">
                              <a:latin typeface="Cambria Math"/>
                            </a:rPr>
                            <m:t>𝑙</m:t>
                          </m:r>
                        </m:den>
                      </m:f>
                    </m:e>
                  </m:rad>
                </m:oMath>
              </a14:m>
              <a:r>
                <a:rPr lang="it-IT" sz="1100"/>
                <a:t> </a:t>
              </a:r>
            </a:p>
          </xdr:txBody>
        </xdr:sp>
      </mc:Choice>
      <mc:Fallback xmlns="">
        <xdr:sp macro="" textlink="">
          <xdr:nvSpPr>
            <xdr:cNvPr id="3" name="CasellaDiTesto 2"/>
            <xdr:cNvSpPr txBox="1"/>
          </xdr:nvSpPr>
          <xdr:spPr>
            <a:xfrm>
              <a:off x="617220" y="476250"/>
              <a:ext cx="179832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a:t>ORBITA CIRCOLARE MAV - VELOCITA' COSTANTE </a:t>
              </a:r>
              <a:r>
                <a:rPr lang="it-IT" sz="1100" b="0" i="0">
                  <a:latin typeface="Cambria Math"/>
                </a:rPr>
                <a:t>𝑣_(𝑀𝐴𝑉 )=√(2𝑘𝑀/𝑙)</a:t>
              </a:r>
              <a:r>
                <a:rPr lang="it-IT" sz="1100"/>
                <a:t> </a:t>
              </a:r>
            </a:p>
          </xdr:txBody>
        </xdr:sp>
      </mc:Fallback>
    </mc:AlternateContent>
    <xdr:clientData/>
  </xdr:oneCellAnchor>
  <xdr:oneCellAnchor>
    <xdr:from>
      <xdr:col>3</xdr:col>
      <xdr:colOff>548640</xdr:colOff>
      <xdr:row>2</xdr:row>
      <xdr:rowOff>140970</xdr:rowOff>
    </xdr:from>
    <xdr:ext cx="2339340" cy="936923"/>
    <mc:AlternateContent xmlns:mc="http://schemas.openxmlformats.org/markup-compatibility/2006" xmlns:a14="http://schemas.microsoft.com/office/drawing/2010/main">
      <mc:Choice Requires="a14">
        <xdr:sp macro="" textlink="">
          <xdr:nvSpPr>
            <xdr:cNvPr id="4" name="CasellaDiTesto 3"/>
            <xdr:cNvSpPr txBox="1"/>
          </xdr:nvSpPr>
          <xdr:spPr>
            <a:xfrm>
              <a:off x="2788920" y="476250"/>
              <a:ext cx="2339340" cy="936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a:t>ORBITA PARABOLICA HERMES- VELOCITA'</a:t>
              </a:r>
              <a:r>
                <a:rPr lang="it-IT" sz="1100" baseline="0"/>
                <a:t> SUL VERTICE</a:t>
              </a:r>
              <a:endParaRPr lang="it-IT" sz="1100"/>
            </a:p>
            <a:p>
              <a:pPr/>
              <a14:m>
                <m:oMathPara xmlns:m="http://schemas.openxmlformats.org/officeDocument/2006/math">
                  <m:oMathParaPr>
                    <m:jc m:val="centerGroup"/>
                  </m:oMathParaPr>
                  <m:oMath xmlns:m="http://schemas.openxmlformats.org/officeDocument/2006/math">
                    <m:sSub>
                      <m:sSubPr>
                        <m:ctrlPr>
                          <a:rPr lang="it-IT" sz="1100" i="1">
                            <a:latin typeface="Cambria Math"/>
                          </a:rPr>
                        </m:ctrlPr>
                      </m:sSubPr>
                      <m:e>
                        <m:r>
                          <a:rPr lang="it-IT" sz="1100" b="0" i="1">
                            <a:latin typeface="Cambria Math"/>
                          </a:rPr>
                          <m:t>𝑣</m:t>
                        </m:r>
                      </m:e>
                      <m:sub>
                        <m:r>
                          <a:rPr lang="it-IT" sz="1100" b="0" i="1">
                            <a:latin typeface="Cambria Math"/>
                          </a:rPr>
                          <m:t>𝐻</m:t>
                        </m:r>
                      </m:sub>
                    </m:sSub>
                    <m:r>
                      <a:rPr lang="it-IT" sz="1100" b="0" i="1">
                        <a:latin typeface="Cambria Math"/>
                      </a:rPr>
                      <m:t>= </m:t>
                    </m:r>
                    <m:rad>
                      <m:radPr>
                        <m:degHide m:val="on"/>
                        <m:ctrlPr>
                          <a:rPr lang="it-IT" sz="1100" b="0" i="1">
                            <a:latin typeface="Cambria Math"/>
                          </a:rPr>
                        </m:ctrlPr>
                      </m:radPr>
                      <m:deg/>
                      <m:e>
                        <m:f>
                          <m:fPr>
                            <m:ctrlPr>
                              <a:rPr lang="it-IT" sz="1100" b="0" i="1">
                                <a:latin typeface="Cambria Math"/>
                              </a:rPr>
                            </m:ctrlPr>
                          </m:fPr>
                          <m:num>
                            <m:r>
                              <a:rPr lang="it-IT" sz="1100" b="0" i="1">
                                <a:latin typeface="Cambria Math"/>
                              </a:rPr>
                              <m:t>4</m:t>
                            </m:r>
                            <m:r>
                              <a:rPr lang="it-IT" sz="1100" b="0" i="1">
                                <a:latin typeface="Cambria Math"/>
                              </a:rPr>
                              <m:t>𝑘𝑀</m:t>
                            </m:r>
                          </m:num>
                          <m:den>
                            <m:r>
                              <a:rPr lang="it-IT" sz="1100" b="0" i="1">
                                <a:latin typeface="Cambria Math"/>
                              </a:rPr>
                              <m:t>𝑙</m:t>
                            </m:r>
                          </m:den>
                        </m:f>
                      </m:e>
                    </m:rad>
                  </m:oMath>
                </m:oMathPara>
              </a14:m>
              <a:endParaRPr lang="it-IT" sz="1100"/>
            </a:p>
          </xdr:txBody>
        </xdr:sp>
      </mc:Choice>
      <mc:Fallback xmlns="">
        <xdr:sp macro="" textlink="">
          <xdr:nvSpPr>
            <xdr:cNvPr id="4" name="CasellaDiTesto 3"/>
            <xdr:cNvSpPr txBox="1"/>
          </xdr:nvSpPr>
          <xdr:spPr>
            <a:xfrm>
              <a:off x="2788920" y="476250"/>
              <a:ext cx="2339340" cy="936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a:t>ORBITA PARABOLICA HERMES- VELOCITA'</a:t>
              </a:r>
              <a:r>
                <a:rPr lang="it-IT" sz="1100" baseline="0"/>
                <a:t> SUL VERTICE</a:t>
              </a:r>
              <a:endParaRPr lang="it-IT" sz="1100"/>
            </a:p>
            <a:p>
              <a:pPr/>
              <a:r>
                <a:rPr lang="it-IT" sz="1100" b="0" i="0">
                  <a:latin typeface="Cambria Math"/>
                </a:rPr>
                <a:t>𝑣_𝐻= √(4𝑘𝑀/𝑙)</a:t>
              </a:r>
              <a:endParaRPr lang="it-IT" sz="1100"/>
            </a:p>
          </xdr:txBody>
        </xdr:sp>
      </mc:Fallback>
    </mc:AlternateContent>
    <xdr:clientData/>
  </xdr:oneCellAnchor>
  <xdr:twoCellAnchor>
    <xdr:from>
      <xdr:col>14</xdr:col>
      <xdr:colOff>205740</xdr:colOff>
      <xdr:row>23</xdr:row>
      <xdr:rowOff>60960</xdr:rowOff>
    </xdr:from>
    <xdr:to>
      <xdr:col>20</xdr:col>
      <xdr:colOff>213360</xdr:colOff>
      <xdr:row>38</xdr:row>
      <xdr:rowOff>118110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350521</xdr:colOff>
      <xdr:row>1</xdr:row>
      <xdr:rowOff>99060</xdr:rowOff>
    </xdr:from>
    <xdr:to>
      <xdr:col>19</xdr:col>
      <xdr:colOff>556771</xdr:colOff>
      <xdr:row>15</xdr:row>
      <xdr:rowOff>121920</xdr:rowOff>
    </xdr:to>
    <xdr:pic>
      <xdr:nvPicPr>
        <xdr:cNvPr id="24" name="Immagine 2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84081" y="266700"/>
          <a:ext cx="3254250" cy="2369820"/>
        </a:xfrm>
        <a:prstGeom prst="rect">
          <a:avLst/>
        </a:prstGeom>
      </xdr:spPr>
    </xdr:pic>
    <xdr:clientData/>
  </xdr:twoCellAnchor>
  <xdr:twoCellAnchor>
    <xdr:from>
      <xdr:col>0</xdr:col>
      <xdr:colOff>579120</xdr:colOff>
      <xdr:row>20</xdr:row>
      <xdr:rowOff>30480</xdr:rowOff>
    </xdr:from>
    <xdr:to>
      <xdr:col>5</xdr:col>
      <xdr:colOff>373380</xdr:colOff>
      <xdr:row>36</xdr:row>
      <xdr:rowOff>22860</xdr:rowOff>
    </xdr:to>
    <xdr:sp macro="" textlink="">
      <xdr:nvSpPr>
        <xdr:cNvPr id="2" name="CasellaDiTesto 1"/>
        <xdr:cNvSpPr txBox="1"/>
      </xdr:nvSpPr>
      <xdr:spPr>
        <a:xfrm>
          <a:off x="579120" y="3505200"/>
          <a:ext cx="3429000"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t>Qui sopra </a:t>
          </a:r>
          <a:r>
            <a:rPr lang="it-IT" sz="1100"/>
            <a:t>viene riportato il confronto delle velocità del</a:t>
          </a:r>
          <a:r>
            <a:rPr lang="it-IT" sz="1100" baseline="0"/>
            <a:t> MAV e di Hermes nell'ipotesi esemplificativa che i due veicoli spaziali si incontrino, nel punto di tangenza tra la parabola di Hermes e la circonferenza di MAV, alla quota di 1600 km.</a:t>
          </a:r>
        </a:p>
        <a:p>
          <a:endParaRPr lang="it-IT" sz="1100" baseline="0"/>
        </a:p>
        <a:p>
          <a:r>
            <a:rPr lang="it-IT" sz="1100" b="1"/>
            <a:t>A</a:t>
          </a:r>
          <a:r>
            <a:rPr lang="it-IT" sz="1100" b="1" baseline="0"/>
            <a:t> destra </a:t>
          </a:r>
          <a:r>
            <a:rPr lang="it-IT" sz="1100" baseline="0"/>
            <a:t>si riportano le velocità dei due veicoli spaziali, sempre nel punto di tangenza delle rispettive traiettorie, in funzione della quota. Si vede chiaremente che le velocità sono sempre molto diverse. Si conclude che per effettuare il rendez-vouz Hermes dovrà frenare notevolmente. Dopo il recupero dell'astronauta dovrà accelerare per riprendere un' orbita aperta (parabolica o meglio iperbolica) allo scopo di vincere la gravità di Marte e far ritorno verso la Terra.</a:t>
          </a:r>
          <a:endParaRPr lang="it-IT" sz="1100"/>
        </a:p>
      </xdr:txBody>
    </xdr:sp>
    <xdr:clientData/>
  </xdr:twoCellAnchor>
  <xdr:twoCellAnchor editAs="oneCell">
    <xdr:from>
      <xdr:col>8</xdr:col>
      <xdr:colOff>601980</xdr:colOff>
      <xdr:row>1</xdr:row>
      <xdr:rowOff>60960</xdr:rowOff>
    </xdr:from>
    <xdr:to>
      <xdr:col>13</xdr:col>
      <xdr:colOff>594360</xdr:colOff>
      <xdr:row>15</xdr:row>
      <xdr:rowOff>158896</xdr:rowOff>
    </xdr:to>
    <xdr:pic>
      <xdr:nvPicPr>
        <xdr:cNvPr id="6" name="Immagin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17920" y="228600"/>
          <a:ext cx="3200400" cy="2444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411480</xdr:colOff>
      <xdr:row>2</xdr:row>
      <xdr:rowOff>167640</xdr:rowOff>
    </xdr:from>
    <xdr:to>
      <xdr:col>5</xdr:col>
      <xdr:colOff>419100</xdr:colOff>
      <xdr:row>20</xdr:row>
      <xdr:rowOff>7620</xdr:rowOff>
    </xdr:to>
    <xdr:sp macro="" textlink="">
      <xdr:nvSpPr>
        <xdr:cNvPr id="2" name="CasellaDiTesto 1"/>
        <xdr:cNvSpPr txBox="1"/>
      </xdr:nvSpPr>
      <xdr:spPr>
        <a:xfrm>
          <a:off x="411480" y="617220"/>
          <a:ext cx="3055620" cy="316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In</a:t>
          </a:r>
          <a:r>
            <a:rPr lang="it-IT" sz="1100" baseline="0"/>
            <a:t> seguito ad un'esplosione nel tunnel di compensazione tra entrata ed uscita dall'HAB, il tunnel si distacca e si produce un grande foro circolare (nella versione cinematografica ha circa 2 m di diametro) nella parete dell'HAB. Questo provoca l'immediata depressurizazione dell' HAB  e la distruzione del campo di patate. Watney tappa il foro con un telo di plastica (film) fissato con il nastro adesivo alla parete esterna dell' HAB. Dai calcoli a lato risulta che il telo è soggetto ad una spinta di 32 tonnellate. Immaginando di usare come telo un  film in PE spesso 250 micron si avrebbe uno sforzo pari a 5 volte carico di rottura del telo. Che evidentemente si romperebbe.</a:t>
          </a:r>
        </a:p>
        <a:p>
          <a:r>
            <a:rPr lang="it-IT" sz="1100" baseline="0"/>
            <a:t>Possiamo supporre che la NASA possieda un materiale  plastico ad elevatissima resistenza, oppure che un film dotato di tali caratteristica sarà sviluppato nel prossimo futuro.</a:t>
          </a:r>
          <a:endParaRPr lang="it-IT" sz="1100"/>
        </a:p>
      </xdr:txBody>
    </xdr:sp>
    <xdr:clientData/>
  </xdr:twoCellAnchor>
  <xdr:twoCellAnchor editAs="oneCell">
    <xdr:from>
      <xdr:col>6</xdr:col>
      <xdr:colOff>365760</xdr:colOff>
      <xdr:row>15</xdr:row>
      <xdr:rowOff>60960</xdr:rowOff>
    </xdr:from>
    <xdr:to>
      <xdr:col>14</xdr:col>
      <xdr:colOff>548640</xdr:colOff>
      <xdr:row>24</xdr:row>
      <xdr:rowOff>0</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3360" y="2918460"/>
          <a:ext cx="5212080" cy="15849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6:I17"/>
  <sheetViews>
    <sheetView tabSelected="1" topLeftCell="A2" workbookViewId="0">
      <selection activeCell="I6" sqref="I6"/>
    </sheetView>
  </sheetViews>
  <sheetFormatPr defaultRowHeight="14.4" x14ac:dyDescent="0.3"/>
  <cols>
    <col min="2" max="2" width="13" customWidth="1"/>
    <col min="3" max="3" width="14.44140625" bestFit="1" customWidth="1"/>
  </cols>
  <sheetData>
    <row r="6" spans="2:9" ht="23.4" x14ac:dyDescent="0.45">
      <c r="B6" s="30" t="s">
        <v>145</v>
      </c>
      <c r="C6" s="30" t="s">
        <v>193</v>
      </c>
      <c r="I6" s="16"/>
    </row>
    <row r="7" spans="2:9" ht="15.6" x14ac:dyDescent="0.3">
      <c r="B7" s="1" t="s">
        <v>0</v>
      </c>
      <c r="C7" t="s">
        <v>1</v>
      </c>
    </row>
    <row r="8" spans="2:9" x14ac:dyDescent="0.3">
      <c r="I8" s="8"/>
    </row>
    <row r="17" spans="2:2" x14ac:dyDescent="0.3">
      <c r="B17"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B2:J20"/>
  <sheetViews>
    <sheetView workbookViewId="0">
      <selection activeCell="H9" sqref="H9"/>
    </sheetView>
  </sheetViews>
  <sheetFormatPr defaultRowHeight="14.4" x14ac:dyDescent="0.3"/>
  <cols>
    <col min="2" max="2" width="24.6640625" bestFit="1" customWidth="1"/>
    <col min="5" max="5" width="10.44140625" bestFit="1" customWidth="1"/>
  </cols>
  <sheetData>
    <row r="2" spans="2:10" x14ac:dyDescent="0.3">
      <c r="B2" s="10" t="s">
        <v>2</v>
      </c>
    </row>
    <row r="3" spans="2:10" x14ac:dyDescent="0.3">
      <c r="B3" s="10"/>
    </row>
    <row r="4" spans="2:10" x14ac:dyDescent="0.3">
      <c r="B4" t="s">
        <v>135</v>
      </c>
      <c r="C4" s="6">
        <v>0.5</v>
      </c>
    </row>
    <row r="5" spans="2:10" x14ac:dyDescent="0.3">
      <c r="B5" t="s">
        <v>10</v>
      </c>
      <c r="C5" s="5">
        <f>1-C4</f>
        <v>0.5</v>
      </c>
    </row>
    <row r="6" spans="2:10" x14ac:dyDescent="0.3">
      <c r="C6" s="17"/>
      <c r="D6" s="17"/>
      <c r="E6" s="17"/>
    </row>
    <row r="7" spans="2:10" x14ac:dyDescent="0.3">
      <c r="B7" s="10" t="s">
        <v>3</v>
      </c>
      <c r="C7" s="17" t="s">
        <v>6</v>
      </c>
      <c r="D7" s="17" t="s">
        <v>7</v>
      </c>
      <c r="E7" s="17" t="s">
        <v>8</v>
      </c>
    </row>
    <row r="8" spans="2:10" x14ac:dyDescent="0.3">
      <c r="B8" t="s">
        <v>4</v>
      </c>
      <c r="C8" s="7">
        <v>0.35</v>
      </c>
      <c r="D8" s="3">
        <f>C8*60*1*32/(0.082*273)</f>
        <v>30.0187617260788</v>
      </c>
      <c r="E8" s="4">
        <f>D8*24*365/1000</f>
        <v>262.96435272045034</v>
      </c>
    </row>
    <row r="9" spans="2:10" x14ac:dyDescent="0.3">
      <c r="B9" t="s">
        <v>5</v>
      </c>
      <c r="C9" s="7">
        <v>4.5</v>
      </c>
      <c r="D9" s="3">
        <f t="shared" ref="D9:D10" si="0">C9*60*1*32/(0.082*273)</f>
        <v>385.95550790672741</v>
      </c>
      <c r="E9" s="4">
        <f>D9*24*365/1000</f>
        <v>3380.9702492629317</v>
      </c>
    </row>
    <row r="10" spans="2:10" x14ac:dyDescent="0.3">
      <c r="B10" t="s">
        <v>9</v>
      </c>
      <c r="C10" s="7">
        <f>C8*(1-$C$4)+C9*$C$4</f>
        <v>2.4249999999999998</v>
      </c>
      <c r="D10" s="3">
        <f t="shared" si="0"/>
        <v>207.98713481640311</v>
      </c>
      <c r="E10" s="4">
        <f>E8*(1-$C$4)+E9*$C$4</f>
        <v>1821.967300991691</v>
      </c>
    </row>
    <row r="12" spans="2:10" x14ac:dyDescent="0.3">
      <c r="B12" s="31" t="s">
        <v>192</v>
      </c>
    </row>
    <row r="13" spans="2:10" x14ac:dyDescent="0.3">
      <c r="J13" s="8"/>
    </row>
    <row r="14" spans="2:10" x14ac:dyDescent="0.3">
      <c r="B14" t="s">
        <v>132</v>
      </c>
    </row>
    <row r="15" spans="2:10" ht="19.2" x14ac:dyDescent="0.4">
      <c r="B15" s="33" t="s">
        <v>134</v>
      </c>
      <c r="C15" s="32"/>
      <c r="D15" s="32"/>
      <c r="E15" s="32"/>
      <c r="F15" s="32"/>
      <c r="G15" s="32"/>
    </row>
    <row r="16" spans="2:10" ht="15.6" x14ac:dyDescent="0.3">
      <c r="B16" s="33"/>
      <c r="C16" s="32"/>
      <c r="D16" s="32"/>
      <c r="E16" s="32"/>
      <c r="F16" s="32"/>
      <c r="G16" s="32"/>
    </row>
    <row r="17" spans="2:2" ht="15.6" x14ac:dyDescent="0.35">
      <c r="B17" s="31" t="s">
        <v>139</v>
      </c>
    </row>
    <row r="18" spans="2:2" x14ac:dyDescent="0.3">
      <c r="B18" s="31" t="s">
        <v>140</v>
      </c>
    </row>
    <row r="19" spans="2:2" x14ac:dyDescent="0.3">
      <c r="B19" s="31" t="s">
        <v>141</v>
      </c>
    </row>
    <row r="20" spans="2:2" x14ac:dyDescent="0.3">
      <c r="B20" s="31"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B2:R26"/>
  <sheetViews>
    <sheetView workbookViewId="0">
      <selection activeCell="U11" sqref="U11"/>
    </sheetView>
  </sheetViews>
  <sheetFormatPr defaultRowHeight="14.4" x14ac:dyDescent="0.3"/>
  <sheetData>
    <row r="2" spans="2:18" x14ac:dyDescent="0.3">
      <c r="B2" s="10" t="s">
        <v>38</v>
      </c>
    </row>
    <row r="3" spans="2:18" x14ac:dyDescent="0.3">
      <c r="J3" t="s">
        <v>45</v>
      </c>
    </row>
    <row r="5" spans="2:18" x14ac:dyDescent="0.3">
      <c r="B5" t="s">
        <v>43</v>
      </c>
      <c r="C5" s="7">
        <v>5</v>
      </c>
      <c r="D5" t="s">
        <v>15</v>
      </c>
      <c r="E5" t="s">
        <v>44</v>
      </c>
    </row>
    <row r="6" spans="2:18" x14ac:dyDescent="0.3">
      <c r="B6" t="s">
        <v>70</v>
      </c>
      <c r="C6" s="7">
        <v>25</v>
      </c>
      <c r="D6" t="s">
        <v>15</v>
      </c>
      <c r="E6" t="s">
        <v>71</v>
      </c>
    </row>
    <row r="7" spans="2:18" x14ac:dyDescent="0.3">
      <c r="B7" t="s">
        <v>39</v>
      </c>
      <c r="C7" s="7">
        <v>175</v>
      </c>
      <c r="D7" t="s">
        <v>40</v>
      </c>
      <c r="E7" t="s">
        <v>41</v>
      </c>
      <c r="G7" s="3">
        <f>C7/3.6</f>
        <v>48.611111111111107</v>
      </c>
      <c r="H7" t="s">
        <v>42</v>
      </c>
    </row>
    <row r="8" spans="2:18" x14ac:dyDescent="0.3">
      <c r="B8" t="s">
        <v>46</v>
      </c>
      <c r="C8" s="7">
        <v>44</v>
      </c>
      <c r="D8" t="s">
        <v>48</v>
      </c>
      <c r="E8" t="s">
        <v>47</v>
      </c>
    </row>
    <row r="9" spans="2:18" x14ac:dyDescent="0.3">
      <c r="B9" t="s">
        <v>17</v>
      </c>
      <c r="C9" s="7">
        <v>700</v>
      </c>
      <c r="D9" t="s">
        <v>11</v>
      </c>
      <c r="E9" t="s">
        <v>53</v>
      </c>
      <c r="G9">
        <f>C9/101325</f>
        <v>6.9084628670120895E-3</v>
      </c>
      <c r="H9" t="s">
        <v>58</v>
      </c>
      <c r="I9">
        <f>G9*1.033</f>
        <v>7.1364421416234879E-3</v>
      </c>
      <c r="J9" t="s">
        <v>61</v>
      </c>
    </row>
    <row r="10" spans="2:18" x14ac:dyDescent="0.3">
      <c r="B10" t="s">
        <v>54</v>
      </c>
      <c r="C10" s="7">
        <v>-63</v>
      </c>
      <c r="D10" t="s">
        <v>56</v>
      </c>
      <c r="E10" t="s">
        <v>55</v>
      </c>
      <c r="G10">
        <f>C10+273</f>
        <v>210</v>
      </c>
      <c r="H10" t="s">
        <v>57</v>
      </c>
      <c r="L10" s="11" t="s">
        <v>21</v>
      </c>
      <c r="P10" t="s">
        <v>39</v>
      </c>
    </row>
    <row r="11" spans="2:18" x14ac:dyDescent="0.3">
      <c r="B11" s="14" t="s">
        <v>51</v>
      </c>
      <c r="C11" s="7">
        <f>G9*C8/(0.082*G10)</f>
        <v>1.7652286071343316E-2</v>
      </c>
      <c r="D11" t="s">
        <v>60</v>
      </c>
      <c r="E11" t="s">
        <v>52</v>
      </c>
      <c r="G11">
        <f>C11</f>
        <v>1.7652286071343316E-2</v>
      </c>
      <c r="H11" t="s">
        <v>59</v>
      </c>
    </row>
    <row r="12" spans="2:18" x14ac:dyDescent="0.3">
      <c r="B12" s="14" t="s">
        <v>64</v>
      </c>
      <c r="C12" s="15">
        <v>1.1E-5</v>
      </c>
      <c r="D12" t="s">
        <v>62</v>
      </c>
      <c r="E12" t="s">
        <v>63</v>
      </c>
    </row>
    <row r="14" spans="2:18" x14ac:dyDescent="0.3">
      <c r="B14" t="s">
        <v>65</v>
      </c>
      <c r="C14" s="15">
        <f>G11*G7*C5/C12</f>
        <v>390044.19980872225</v>
      </c>
      <c r="D14" t="s">
        <v>66</v>
      </c>
      <c r="E14" t="s">
        <v>67</v>
      </c>
    </row>
    <row r="15" spans="2:18" x14ac:dyDescent="0.3">
      <c r="B15" t="s">
        <v>82</v>
      </c>
      <c r="C15" s="7">
        <v>0.9</v>
      </c>
      <c r="D15" t="s">
        <v>66</v>
      </c>
      <c r="E15" t="s">
        <v>68</v>
      </c>
      <c r="H15" s="34"/>
      <c r="N15" s="11"/>
      <c r="R15" s="16"/>
    </row>
    <row r="17" spans="2:18" x14ac:dyDescent="0.3">
      <c r="B17" t="s">
        <v>21</v>
      </c>
      <c r="C17" s="4">
        <f>0.5*C15*G11*G7^2*C5*C6</f>
        <v>2346.3596394743449</v>
      </c>
      <c r="D17" t="s">
        <v>18</v>
      </c>
      <c r="E17" s="16"/>
      <c r="N17" s="2"/>
      <c r="R17" s="15"/>
    </row>
    <row r="18" spans="2:18" x14ac:dyDescent="0.3">
      <c r="R18" s="15"/>
    </row>
    <row r="20" spans="2:18" x14ac:dyDescent="0.3">
      <c r="R20" s="15"/>
    </row>
    <row r="21" spans="2:18" x14ac:dyDescent="0.3">
      <c r="B21" t="s">
        <v>72</v>
      </c>
      <c r="R21" s="9"/>
    </row>
    <row r="22" spans="2:18" x14ac:dyDescent="0.3">
      <c r="B22" t="s">
        <v>73</v>
      </c>
      <c r="R22" s="15"/>
    </row>
    <row r="25" spans="2:18" x14ac:dyDescent="0.3">
      <c r="B25" t="s">
        <v>49</v>
      </c>
    </row>
    <row r="26" spans="2:18" x14ac:dyDescent="0.3">
      <c r="B26" t="s">
        <v>50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B2:R22"/>
  <sheetViews>
    <sheetView workbookViewId="0">
      <selection activeCell="G24" sqref="G24"/>
    </sheetView>
  </sheetViews>
  <sheetFormatPr defaultRowHeight="14.4" x14ac:dyDescent="0.3"/>
  <sheetData>
    <row r="2" spans="2:16" x14ac:dyDescent="0.3">
      <c r="B2" s="10" t="s">
        <v>74</v>
      </c>
    </row>
    <row r="3" spans="2:16" x14ac:dyDescent="0.3">
      <c r="J3" t="s">
        <v>45</v>
      </c>
    </row>
    <row r="5" spans="2:16" x14ac:dyDescent="0.3">
      <c r="B5" t="s">
        <v>43</v>
      </c>
      <c r="C5" s="7">
        <v>5</v>
      </c>
      <c r="D5" t="s">
        <v>15</v>
      </c>
      <c r="E5" t="s">
        <v>44</v>
      </c>
    </row>
    <row r="6" spans="2:16" x14ac:dyDescent="0.3">
      <c r="B6" t="s">
        <v>70</v>
      </c>
      <c r="C6" s="7">
        <v>25</v>
      </c>
      <c r="D6" t="s">
        <v>15</v>
      </c>
      <c r="E6" t="s">
        <v>71</v>
      </c>
    </row>
    <row r="7" spans="2:16" x14ac:dyDescent="0.3">
      <c r="B7" t="s">
        <v>39</v>
      </c>
      <c r="C7" s="7">
        <v>175</v>
      </c>
      <c r="D7" t="s">
        <v>40</v>
      </c>
      <c r="E7" t="s">
        <v>41</v>
      </c>
      <c r="G7" s="3">
        <f>C7/3.6</f>
        <v>48.611111111111107</v>
      </c>
      <c r="H7" t="s">
        <v>42</v>
      </c>
    </row>
    <row r="8" spans="2:16" x14ac:dyDescent="0.3">
      <c r="B8" t="s">
        <v>46</v>
      </c>
      <c r="C8" s="7">
        <v>28.9</v>
      </c>
      <c r="D8" t="s">
        <v>48</v>
      </c>
      <c r="E8" t="s">
        <v>47</v>
      </c>
    </row>
    <row r="9" spans="2:16" x14ac:dyDescent="0.3">
      <c r="B9" t="s">
        <v>17</v>
      </c>
      <c r="C9" s="7">
        <v>101325</v>
      </c>
      <c r="D9" t="s">
        <v>11</v>
      </c>
      <c r="E9" t="s">
        <v>53</v>
      </c>
      <c r="G9">
        <f>C9/101325</f>
        <v>1</v>
      </c>
      <c r="H9" t="s">
        <v>58</v>
      </c>
      <c r="I9">
        <f>G9*1.033</f>
        <v>1.0329999999999999</v>
      </c>
      <c r="J9" t="s">
        <v>61</v>
      </c>
    </row>
    <row r="10" spans="2:16" x14ac:dyDescent="0.3">
      <c r="B10" t="s">
        <v>54</v>
      </c>
      <c r="C10" s="7">
        <v>20</v>
      </c>
      <c r="D10" t="s">
        <v>56</v>
      </c>
      <c r="E10" t="s">
        <v>55</v>
      </c>
      <c r="G10">
        <f>C10+273</f>
        <v>293</v>
      </c>
      <c r="H10" t="s">
        <v>57</v>
      </c>
      <c r="L10" s="11" t="s">
        <v>21</v>
      </c>
      <c r="P10" t="s">
        <v>39</v>
      </c>
    </row>
    <row r="11" spans="2:16" x14ac:dyDescent="0.3">
      <c r="B11" s="14" t="s">
        <v>51</v>
      </c>
      <c r="C11" s="7">
        <f>G9*C8/(0.082*G10)</f>
        <v>1.2028635644718222</v>
      </c>
      <c r="D11" t="s">
        <v>60</v>
      </c>
      <c r="E11" t="s">
        <v>52</v>
      </c>
      <c r="G11">
        <f>C11</f>
        <v>1.2028635644718222</v>
      </c>
      <c r="H11" t="s">
        <v>59</v>
      </c>
    </row>
    <row r="12" spans="2:16" x14ac:dyDescent="0.3">
      <c r="B12" s="14" t="s">
        <v>64</v>
      </c>
      <c r="C12" s="15">
        <v>1.8700000000000001E-5</v>
      </c>
      <c r="D12" t="s">
        <v>62</v>
      </c>
      <c r="E12" t="s">
        <v>63</v>
      </c>
      <c r="H12" s="8"/>
    </row>
    <row r="14" spans="2:16" x14ac:dyDescent="0.3">
      <c r="B14" t="s">
        <v>65</v>
      </c>
      <c r="C14" s="15">
        <f>G11*G7*C5/C12</f>
        <v>15634367.482365483</v>
      </c>
      <c r="D14" t="s">
        <v>66</v>
      </c>
      <c r="E14" t="s">
        <v>67</v>
      </c>
    </row>
    <row r="15" spans="2:16" x14ac:dyDescent="0.3">
      <c r="B15" t="s">
        <v>82</v>
      </c>
      <c r="C15" s="7">
        <v>0.37</v>
      </c>
      <c r="D15" t="s">
        <v>66</v>
      </c>
      <c r="E15" t="s">
        <v>68</v>
      </c>
      <c r="H15" t="s">
        <v>69</v>
      </c>
      <c r="N15" s="11"/>
    </row>
    <row r="17" spans="2:18" x14ac:dyDescent="0.3">
      <c r="B17" t="s">
        <v>21</v>
      </c>
      <c r="C17" s="4">
        <f>0.5*C15*G11*G7^2*C5*C6</f>
        <v>65730.843773733286</v>
      </c>
      <c r="D17" t="s">
        <v>18</v>
      </c>
      <c r="E17" s="16"/>
      <c r="N17" s="2"/>
      <c r="R17" s="15"/>
    </row>
    <row r="18" spans="2:18" x14ac:dyDescent="0.3">
      <c r="R18" s="15"/>
    </row>
    <row r="20" spans="2:18" x14ac:dyDescent="0.3">
      <c r="R20" s="15"/>
    </row>
    <row r="21" spans="2:18" x14ac:dyDescent="0.3">
      <c r="R21" s="9"/>
    </row>
    <row r="22" spans="2:18" x14ac:dyDescent="0.3">
      <c r="R22" s="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B2:W28"/>
  <sheetViews>
    <sheetView topLeftCell="A2" workbookViewId="0">
      <selection activeCell="H28" sqref="H28"/>
    </sheetView>
  </sheetViews>
  <sheetFormatPr defaultRowHeight="14.4" x14ac:dyDescent="0.3"/>
  <cols>
    <col min="15" max="15" width="9.109375" customWidth="1"/>
  </cols>
  <sheetData>
    <row r="2" spans="2:18" x14ac:dyDescent="0.3">
      <c r="B2" s="10" t="s">
        <v>144</v>
      </c>
    </row>
    <row r="3" spans="2:18" x14ac:dyDescent="0.3">
      <c r="O3" s="10" t="s">
        <v>35</v>
      </c>
    </row>
    <row r="4" spans="2:18" x14ac:dyDescent="0.3">
      <c r="B4" t="s">
        <v>20</v>
      </c>
      <c r="C4" s="7">
        <v>27477</v>
      </c>
      <c r="D4" t="s">
        <v>136</v>
      </c>
      <c r="E4" t="s">
        <v>12</v>
      </c>
      <c r="K4" s="8" t="s">
        <v>79</v>
      </c>
    </row>
    <row r="5" spans="2:18" ht="15.6" x14ac:dyDescent="0.35">
      <c r="B5" t="s">
        <v>36</v>
      </c>
      <c r="C5" s="7">
        <v>3.7109999999999999</v>
      </c>
      <c r="D5" t="s">
        <v>13</v>
      </c>
      <c r="E5" t="s">
        <v>14</v>
      </c>
      <c r="K5" s="8" t="s">
        <v>80</v>
      </c>
    </row>
    <row r="6" spans="2:18" ht="15.6" x14ac:dyDescent="0.35">
      <c r="B6" t="s">
        <v>26</v>
      </c>
      <c r="C6" s="7">
        <v>6.5</v>
      </c>
      <c r="D6" t="s">
        <v>15</v>
      </c>
      <c r="E6" t="s">
        <v>37</v>
      </c>
      <c r="K6" s="8" t="s">
        <v>81</v>
      </c>
    </row>
    <row r="7" spans="2:18" ht="15.6" x14ac:dyDescent="0.35">
      <c r="B7" t="s">
        <v>27</v>
      </c>
      <c r="C7" s="7">
        <v>15</v>
      </c>
      <c r="D7" t="s">
        <v>15</v>
      </c>
      <c r="E7" t="s">
        <v>16</v>
      </c>
      <c r="K7" s="8" t="s">
        <v>81</v>
      </c>
    </row>
    <row r="8" spans="2:18" x14ac:dyDescent="0.3">
      <c r="B8" t="s">
        <v>21</v>
      </c>
      <c r="C8" s="13">
        <f>'forza del vento su Marte'!C17</f>
        <v>2346.3596394743449</v>
      </c>
      <c r="D8" t="s">
        <v>18</v>
      </c>
      <c r="E8" t="s">
        <v>147</v>
      </c>
      <c r="K8" s="8" t="s">
        <v>83</v>
      </c>
      <c r="P8" s="11" t="s">
        <v>21</v>
      </c>
    </row>
    <row r="11" spans="2:18" ht="15.6" x14ac:dyDescent="0.35">
      <c r="B11" t="s">
        <v>17</v>
      </c>
      <c r="C11" s="4">
        <f>C4*C5</f>
        <v>101967.147</v>
      </c>
      <c r="D11" t="s">
        <v>18</v>
      </c>
      <c r="E11" t="s">
        <v>137</v>
      </c>
      <c r="O11" t="s">
        <v>27</v>
      </c>
    </row>
    <row r="13" spans="2:18" x14ac:dyDescent="0.3">
      <c r="B13" t="s">
        <v>34</v>
      </c>
      <c r="P13" t="s">
        <v>76</v>
      </c>
      <c r="Q13" t="s">
        <v>29</v>
      </c>
      <c r="R13" s="11" t="s">
        <v>78</v>
      </c>
    </row>
    <row r="14" spans="2:18" x14ac:dyDescent="0.3">
      <c r="B14" t="s">
        <v>75</v>
      </c>
      <c r="C14">
        <f>(1+C8*C7/(C11*C6))/2</f>
        <v>0.52655108164934061</v>
      </c>
      <c r="E14" t="s">
        <v>33</v>
      </c>
    </row>
    <row r="15" spans="2:18" x14ac:dyDescent="0.3">
      <c r="B15" t="s">
        <v>76</v>
      </c>
      <c r="C15" s="4">
        <f>C14*C11</f>
        <v>53690.911545547315</v>
      </c>
      <c r="D15" t="s">
        <v>18</v>
      </c>
      <c r="E15" t="s">
        <v>22</v>
      </c>
      <c r="Q15" t="s">
        <v>28</v>
      </c>
      <c r="R15" s="2" t="s">
        <v>28</v>
      </c>
    </row>
    <row r="16" spans="2:18" x14ac:dyDescent="0.3">
      <c r="B16" t="s">
        <v>77</v>
      </c>
      <c r="C16" s="4">
        <f>(1-C14)*C11</f>
        <v>48276.235454452682</v>
      </c>
      <c r="D16" t="s">
        <v>18</v>
      </c>
      <c r="E16" t="s">
        <v>23</v>
      </c>
    </row>
    <row r="17" spans="2:23" ht="15.6" x14ac:dyDescent="0.35">
      <c r="B17" t="s">
        <v>28</v>
      </c>
      <c r="C17" s="4">
        <f>C8/2</f>
        <v>1173.1798197371725</v>
      </c>
      <c r="D17" t="s">
        <v>18</v>
      </c>
      <c r="E17" t="s">
        <v>25</v>
      </c>
      <c r="P17" s="2" t="s">
        <v>26</v>
      </c>
    </row>
    <row r="18" spans="2:23" x14ac:dyDescent="0.3">
      <c r="O18" t="s">
        <v>30</v>
      </c>
    </row>
    <row r="21" spans="2:23" x14ac:dyDescent="0.3">
      <c r="O21" t="s">
        <v>31</v>
      </c>
    </row>
    <row r="25" spans="2:23" x14ac:dyDescent="0.3">
      <c r="O25" t="s">
        <v>138</v>
      </c>
    </row>
    <row r="26" spans="2:23" x14ac:dyDescent="0.3">
      <c r="O26" t="s">
        <v>191</v>
      </c>
    </row>
    <row r="28" spans="2:23" ht="21" x14ac:dyDescent="0.4">
      <c r="O28" s="12"/>
      <c r="Q28" t="s">
        <v>32</v>
      </c>
      <c r="U28" t="s">
        <v>24</v>
      </c>
      <c r="V28" s="4">
        <f>C6/C7*C11</f>
        <v>44185.763700000003</v>
      </c>
      <c r="W28" t="s">
        <v>18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B2:P25"/>
  <sheetViews>
    <sheetView workbookViewId="0">
      <selection activeCell="J5" sqref="J5"/>
    </sheetView>
  </sheetViews>
  <sheetFormatPr defaultRowHeight="13.2" x14ac:dyDescent="0.25"/>
  <cols>
    <col min="1" max="12" width="8.88671875" style="19"/>
    <col min="13" max="13" width="12.44140625" style="19" customWidth="1"/>
    <col min="14" max="14" width="11.33203125" style="19" bestFit="1" customWidth="1"/>
    <col min="15" max="15" width="11.44140625" style="19" bestFit="1" customWidth="1"/>
    <col min="16" max="16384" width="8.88671875" style="19"/>
  </cols>
  <sheetData>
    <row r="2" spans="2:15" ht="17.399999999999999" x14ac:dyDescent="0.3">
      <c r="B2" s="41" t="s">
        <v>189</v>
      </c>
    </row>
    <row r="3" spans="2:15" x14ac:dyDescent="0.25">
      <c r="B3" s="42" t="s">
        <v>190</v>
      </c>
    </row>
    <row r="4" spans="2:15" x14ac:dyDescent="0.25">
      <c r="D4" s="21"/>
      <c r="E4" s="21"/>
      <c r="F4" s="21"/>
    </row>
    <row r="5" spans="2:15" x14ac:dyDescent="0.25">
      <c r="D5" s="21"/>
      <c r="E5" s="23"/>
      <c r="F5" s="21"/>
      <c r="G5" s="21"/>
    </row>
    <row r="6" spans="2:15" x14ac:dyDescent="0.25">
      <c r="D6" s="21"/>
      <c r="E6" s="26"/>
      <c r="F6" s="21"/>
      <c r="G6" s="21"/>
    </row>
    <row r="7" spans="2:15" x14ac:dyDescent="0.25">
      <c r="C7" s="18"/>
    </row>
    <row r="9" spans="2:15" x14ac:dyDescent="0.25">
      <c r="C9" s="21" t="s">
        <v>75</v>
      </c>
      <c r="D9" s="22">
        <f>0.000000000066738</f>
        <v>6.6738000000000003E-11</v>
      </c>
      <c r="E9" s="21" t="s">
        <v>85</v>
      </c>
      <c r="F9" s="21" t="s">
        <v>86</v>
      </c>
      <c r="M9" s="23"/>
      <c r="N9" s="24"/>
    </row>
    <row r="10" spans="2:15" x14ac:dyDescent="0.25">
      <c r="C10" s="21" t="s">
        <v>20</v>
      </c>
      <c r="D10" s="25">
        <v>6.4E+23</v>
      </c>
      <c r="E10" s="21" t="s">
        <v>87</v>
      </c>
      <c r="F10" s="21" t="s">
        <v>88</v>
      </c>
      <c r="M10" s="21"/>
      <c r="N10" s="21"/>
      <c r="O10" s="21"/>
    </row>
    <row r="11" spans="2:15" x14ac:dyDescent="0.25">
      <c r="D11" s="21"/>
      <c r="E11" s="23"/>
      <c r="F11" s="21"/>
      <c r="G11" s="21"/>
    </row>
    <row r="12" spans="2:15" x14ac:dyDescent="0.25">
      <c r="D12" s="21"/>
      <c r="E12" s="26"/>
      <c r="F12" s="21"/>
      <c r="G12" s="21"/>
    </row>
    <row r="13" spans="2:15" x14ac:dyDescent="0.25">
      <c r="D13" s="21"/>
      <c r="E13" s="23"/>
      <c r="F13" s="21"/>
      <c r="G13" s="21"/>
    </row>
    <row r="14" spans="2:15" x14ac:dyDescent="0.25">
      <c r="B14" s="23"/>
    </row>
    <row r="16" spans="2:15" x14ac:dyDescent="0.25">
      <c r="B16" s="23"/>
    </row>
    <row r="18" spans="2:16" x14ac:dyDescent="0.25">
      <c r="B18" s="23"/>
    </row>
    <row r="19" spans="2:16" x14ac:dyDescent="0.25">
      <c r="J19" s="20" t="s">
        <v>108</v>
      </c>
      <c r="K19" s="20" t="s">
        <v>84</v>
      </c>
    </row>
    <row r="20" spans="2:16" x14ac:dyDescent="0.25">
      <c r="B20" s="23"/>
      <c r="J20" s="23">
        <v>3400000</v>
      </c>
      <c r="K20" s="27">
        <f>$D$9*$D$10/J20^2</f>
        <v>3.6948373702422144</v>
      </c>
      <c r="L20" s="21" t="s">
        <v>105</v>
      </c>
    </row>
    <row r="21" spans="2:16" x14ac:dyDescent="0.25">
      <c r="J21" s="23">
        <v>4000000</v>
      </c>
      <c r="K21" s="27">
        <f>$D$9*$D$10/J21^2</f>
        <v>2.6695199999999999</v>
      </c>
      <c r="N21" s="26"/>
      <c r="O21" s="21"/>
      <c r="P21" s="21"/>
    </row>
    <row r="22" spans="2:16" x14ac:dyDescent="0.25">
      <c r="B22" s="23"/>
      <c r="J22" s="23">
        <v>5000000</v>
      </c>
      <c r="K22" s="27">
        <f>$D$9*$D$10/J22^2</f>
        <v>1.7084927999999999</v>
      </c>
      <c r="N22" s="23"/>
      <c r="O22" s="21"/>
      <c r="P22" s="21"/>
    </row>
    <row r="23" spans="2:16" x14ac:dyDescent="0.25">
      <c r="J23" s="23">
        <v>7000000</v>
      </c>
      <c r="K23" s="27">
        <f>$D$9*$D$10/J23^2</f>
        <v>0.87168000000000001</v>
      </c>
      <c r="N23" s="26"/>
      <c r="O23" s="21"/>
      <c r="P23" s="21"/>
    </row>
    <row r="24" spans="2:16" x14ac:dyDescent="0.25">
      <c r="B24" s="23"/>
      <c r="M24" s="21"/>
      <c r="N24" s="23"/>
      <c r="O24" s="21"/>
      <c r="P24" s="21"/>
    </row>
    <row r="25" spans="2:16" x14ac:dyDescent="0.25">
      <c r="M25" s="21"/>
      <c r="N25" s="26"/>
      <c r="O25" s="21"/>
      <c r="P25" s="2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2:M29"/>
  <sheetViews>
    <sheetView workbookViewId="0">
      <selection activeCell="G14" sqref="G14"/>
    </sheetView>
  </sheetViews>
  <sheetFormatPr defaultRowHeight="13.2" x14ac:dyDescent="0.25"/>
  <cols>
    <col min="1" max="1" width="8.88671875" style="19"/>
    <col min="2" max="2" width="12.21875" style="19" customWidth="1"/>
    <col min="3" max="3" width="11.109375" style="19" bestFit="1" customWidth="1"/>
    <col min="4" max="4" width="10.6640625" style="19" customWidth="1"/>
    <col min="5" max="5" width="8.88671875" style="19"/>
    <col min="6" max="6" width="10.88671875" style="19" bestFit="1" customWidth="1"/>
    <col min="7" max="9" width="8.88671875" style="19"/>
    <col min="10" max="10" width="31.88671875" style="19" customWidth="1"/>
    <col min="11" max="16384" width="8.88671875" style="19"/>
  </cols>
  <sheetData>
    <row r="2" spans="1:9" x14ac:dyDescent="0.25">
      <c r="B2" s="18" t="s">
        <v>150</v>
      </c>
    </row>
    <row r="4" spans="1:9" x14ac:dyDescent="0.25">
      <c r="I4" s="21" t="s">
        <v>151</v>
      </c>
    </row>
    <row r="5" spans="1:9" x14ac:dyDescent="0.25">
      <c r="I5" s="21" t="s">
        <v>152</v>
      </c>
    </row>
    <row r="7" spans="1:9" x14ac:dyDescent="0.25">
      <c r="I7" s="18" t="s">
        <v>153</v>
      </c>
    </row>
    <row r="8" spans="1:9" ht="13.8" x14ac:dyDescent="0.3">
      <c r="B8" s="21" t="s">
        <v>154</v>
      </c>
      <c r="C8" s="37" t="s">
        <v>155</v>
      </c>
      <c r="D8" s="37" t="s">
        <v>156</v>
      </c>
      <c r="E8" s="37" t="s">
        <v>157</v>
      </c>
      <c r="I8" s="21" t="s">
        <v>158</v>
      </c>
    </row>
    <row r="9" spans="1:9" x14ac:dyDescent="0.25">
      <c r="B9" s="37" t="s">
        <v>159</v>
      </c>
      <c r="C9" s="37" t="s">
        <v>160</v>
      </c>
      <c r="D9" s="37" t="s">
        <v>160</v>
      </c>
      <c r="E9" s="37" t="s">
        <v>161</v>
      </c>
      <c r="I9" s="21" t="s">
        <v>162</v>
      </c>
    </row>
    <row r="10" spans="1:9" x14ac:dyDescent="0.25">
      <c r="A10" s="19" t="s">
        <v>163</v>
      </c>
      <c r="B10" s="22">
        <v>-82.91</v>
      </c>
      <c r="C10" s="22"/>
      <c r="D10" s="22">
        <v>0.36</v>
      </c>
      <c r="E10" s="22">
        <v>-83</v>
      </c>
      <c r="I10" s="21" t="s">
        <v>164</v>
      </c>
    </row>
    <row r="11" spans="1:9" x14ac:dyDescent="0.25">
      <c r="A11" s="19" t="s">
        <v>165</v>
      </c>
      <c r="B11" s="22">
        <v>-6.8</v>
      </c>
      <c r="C11" s="22"/>
      <c r="D11" s="22">
        <v>5.2999999999999999E-2</v>
      </c>
      <c r="E11" s="22">
        <v>-218</v>
      </c>
      <c r="I11" s="21" t="s">
        <v>166</v>
      </c>
    </row>
    <row r="12" spans="1:9" x14ac:dyDescent="0.25">
      <c r="A12" s="19" t="s">
        <v>167</v>
      </c>
      <c r="B12" s="22">
        <v>-393</v>
      </c>
      <c r="C12" s="22">
        <v>3.7400000000000003E-2</v>
      </c>
      <c r="D12" s="22"/>
      <c r="E12" s="22"/>
      <c r="I12" s="21" t="s">
        <v>168</v>
      </c>
    </row>
    <row r="13" spans="1:9" ht="15.6" x14ac:dyDescent="0.35">
      <c r="A13" s="19" t="s">
        <v>169</v>
      </c>
      <c r="B13" s="22">
        <v>-241.82</v>
      </c>
      <c r="C13" s="38">
        <v>3.5999999999999997E-2</v>
      </c>
      <c r="D13" s="22"/>
      <c r="E13" s="22"/>
      <c r="I13" s="21" t="s">
        <v>170</v>
      </c>
    </row>
    <row r="15" spans="1:9" ht="13.8" x14ac:dyDescent="0.3">
      <c r="B15" s="21" t="s">
        <v>171</v>
      </c>
      <c r="C15" s="19">
        <f>B12+2*B13-B10-2*B11</f>
        <v>-780.13</v>
      </c>
      <c r="D15" s="21" t="s">
        <v>159</v>
      </c>
      <c r="I15" s="21" t="s">
        <v>172</v>
      </c>
    </row>
    <row r="16" spans="1:9" x14ac:dyDescent="0.25">
      <c r="B16" s="21" t="s">
        <v>173</v>
      </c>
    </row>
    <row r="17" spans="2:13" ht="15.6" x14ac:dyDescent="0.35">
      <c r="B17" s="21" t="s">
        <v>174</v>
      </c>
      <c r="C17" s="19">
        <f>D10*(25-E10)+2*D11*(25-E11)</f>
        <v>64.637999999999991</v>
      </c>
      <c r="D17" s="37" t="s">
        <v>175</v>
      </c>
      <c r="I17" s="21" t="s">
        <v>176</v>
      </c>
      <c r="K17" s="21" t="s">
        <v>177</v>
      </c>
    </row>
    <row r="18" spans="2:13" ht="15.6" x14ac:dyDescent="0.35">
      <c r="B18" s="21" t="s">
        <v>178</v>
      </c>
      <c r="C18" s="19">
        <f>C12+2*C13</f>
        <v>0.1094</v>
      </c>
      <c r="D18" s="37" t="s">
        <v>179</v>
      </c>
      <c r="K18" s="21" t="s">
        <v>180</v>
      </c>
    </row>
    <row r="19" spans="2:13" x14ac:dyDescent="0.25">
      <c r="B19" s="21" t="s">
        <v>181</v>
      </c>
      <c r="C19" s="26">
        <f>25-(C15+C17)/C18</f>
        <v>6565.1462522851916</v>
      </c>
      <c r="D19" s="21" t="s">
        <v>182</v>
      </c>
      <c r="E19" s="26">
        <f>C19-273</f>
        <v>6292.1462522851916</v>
      </c>
      <c r="F19" s="21" t="s">
        <v>183</v>
      </c>
    </row>
    <row r="20" spans="2:13" x14ac:dyDescent="0.25">
      <c r="B20" s="21" t="s">
        <v>184</v>
      </c>
      <c r="C20" s="26">
        <f>250*SQRT(C19/26.6)</f>
        <v>3927.5470198045186</v>
      </c>
      <c r="D20" s="21" t="s">
        <v>42</v>
      </c>
      <c r="E20" s="26">
        <f>C20/3.6</f>
        <v>1090.985283279033</v>
      </c>
      <c r="F20" s="21" t="s">
        <v>40</v>
      </c>
      <c r="I20" s="21" t="s">
        <v>185</v>
      </c>
    </row>
    <row r="22" spans="2:13" x14ac:dyDescent="0.25">
      <c r="M22" s="21" t="s">
        <v>186</v>
      </c>
    </row>
    <row r="23" spans="2:13" ht="18" x14ac:dyDescent="0.35">
      <c r="D23" s="39"/>
      <c r="F23" s="21"/>
      <c r="J23" s="28"/>
      <c r="M23" s="21" t="s">
        <v>187</v>
      </c>
    </row>
    <row r="24" spans="2:13" x14ac:dyDescent="0.25">
      <c r="J24" s="40"/>
      <c r="M24" s="21" t="s">
        <v>188</v>
      </c>
    </row>
    <row r="27" spans="2:13" x14ac:dyDescent="0.25">
      <c r="F27" s="37"/>
      <c r="G27" s="21"/>
      <c r="H27" s="43"/>
      <c r="I27" s="43"/>
    </row>
    <row r="28" spans="2:13" x14ac:dyDescent="0.25">
      <c r="F28" s="37"/>
      <c r="H28" s="21"/>
    </row>
    <row r="29" spans="2:13" x14ac:dyDescent="0.25">
      <c r="G29" s="37"/>
    </row>
  </sheetData>
  <mergeCells count="1">
    <mergeCell ref="H27:I2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2:P42"/>
  <sheetViews>
    <sheetView workbookViewId="0">
      <selection activeCell="H7" sqref="H7"/>
    </sheetView>
  </sheetViews>
  <sheetFormatPr defaultRowHeight="13.2" x14ac:dyDescent="0.25"/>
  <cols>
    <col min="1" max="1" width="8.88671875" style="19"/>
    <col min="2" max="2" width="12.44140625" style="19" customWidth="1"/>
    <col min="3" max="3" width="11.33203125" style="19" bestFit="1" customWidth="1"/>
    <col min="4" max="4" width="11.44140625" style="19" bestFit="1" customWidth="1"/>
    <col min="5" max="6" width="8.88671875" style="19"/>
    <col min="7" max="7" width="11.109375" style="19" customWidth="1"/>
    <col min="8" max="8" width="8.88671875" style="19"/>
    <col min="9" max="9" width="11.21875" style="19" customWidth="1"/>
    <col min="10" max="16384" width="8.88671875" style="19"/>
  </cols>
  <sheetData>
    <row r="2" spans="2:12" x14ac:dyDescent="0.25">
      <c r="B2" s="18" t="s">
        <v>149</v>
      </c>
      <c r="F2" s="28"/>
      <c r="J2" s="18"/>
    </row>
    <row r="3" spans="2:12" x14ac:dyDescent="0.25">
      <c r="J3" s="20"/>
      <c r="K3" s="20"/>
    </row>
    <row r="4" spans="2:12" x14ac:dyDescent="0.25">
      <c r="J4" s="23"/>
      <c r="K4" s="27"/>
      <c r="L4" s="21"/>
    </row>
    <row r="5" spans="2:12" x14ac:dyDescent="0.25">
      <c r="J5" s="23"/>
      <c r="K5" s="27"/>
    </row>
    <row r="6" spans="2:12" x14ac:dyDescent="0.25">
      <c r="J6" s="23"/>
      <c r="K6" s="27"/>
    </row>
    <row r="7" spans="2:12" x14ac:dyDescent="0.25">
      <c r="J7" s="23"/>
      <c r="K7" s="27"/>
    </row>
    <row r="8" spans="2:12" x14ac:dyDescent="0.25">
      <c r="J8" s="23"/>
      <c r="K8" s="24"/>
    </row>
    <row r="9" spans="2:12" x14ac:dyDescent="0.25">
      <c r="B9" s="18" t="s">
        <v>90</v>
      </c>
      <c r="J9" s="23"/>
      <c r="K9" s="24"/>
    </row>
    <row r="10" spans="2:12" x14ac:dyDescent="0.25">
      <c r="J10" s="23"/>
      <c r="K10" s="24"/>
    </row>
    <row r="11" spans="2:12" x14ac:dyDescent="0.25">
      <c r="B11" s="21" t="s">
        <v>75</v>
      </c>
      <c r="C11" s="22">
        <f>0.000000000066738</f>
        <v>6.6738000000000003E-11</v>
      </c>
      <c r="D11" s="21" t="s">
        <v>85</v>
      </c>
      <c r="E11" s="21" t="s">
        <v>86</v>
      </c>
    </row>
    <row r="12" spans="2:12" x14ac:dyDescent="0.25">
      <c r="B12" s="21" t="s">
        <v>20</v>
      </c>
      <c r="C12" s="25">
        <v>6.4E+23</v>
      </c>
      <c r="D12" s="21" t="s">
        <v>87</v>
      </c>
      <c r="E12" s="21" t="s">
        <v>88</v>
      </c>
    </row>
    <row r="13" spans="2:12" x14ac:dyDescent="0.25">
      <c r="B13" s="21" t="s">
        <v>89</v>
      </c>
      <c r="C13" s="25">
        <v>3400000</v>
      </c>
      <c r="D13" s="21" t="s">
        <v>15</v>
      </c>
      <c r="E13" s="21" t="s">
        <v>91</v>
      </c>
    </row>
    <row r="14" spans="2:12" x14ac:dyDescent="0.25">
      <c r="B14" s="21" t="s">
        <v>111</v>
      </c>
      <c r="C14" s="25">
        <v>1600000</v>
      </c>
      <c r="D14" s="21" t="s">
        <v>15</v>
      </c>
      <c r="E14" s="21" t="s">
        <v>92</v>
      </c>
    </row>
    <row r="15" spans="2:12" x14ac:dyDescent="0.25">
      <c r="B15" s="21" t="s">
        <v>93</v>
      </c>
      <c r="C15" s="23">
        <f>C13+C14</f>
        <v>5000000</v>
      </c>
      <c r="D15" s="21" t="s">
        <v>15</v>
      </c>
      <c r="E15" s="21" t="s">
        <v>94</v>
      </c>
    </row>
    <row r="16" spans="2:12" ht="15.6" x14ac:dyDescent="0.35">
      <c r="B16" s="21" t="s">
        <v>95</v>
      </c>
      <c r="C16" s="26">
        <f>SQRT(C11*C12/C15)</f>
        <v>2922.7493905567749</v>
      </c>
      <c r="D16" s="21" t="s">
        <v>42</v>
      </c>
      <c r="E16" s="21" t="s">
        <v>96</v>
      </c>
      <c r="I16" s="26"/>
    </row>
    <row r="17" spans="2:16" ht="15.6" x14ac:dyDescent="0.35">
      <c r="B17" s="21" t="s">
        <v>97</v>
      </c>
      <c r="C17" s="26">
        <f>SQRT(2*C11*C12/C15)</f>
        <v>4133.3918275430897</v>
      </c>
      <c r="D17" s="21" t="s">
        <v>42</v>
      </c>
      <c r="E17" s="21" t="s">
        <v>106</v>
      </c>
      <c r="I17" s="26"/>
      <c r="J17" s="35" t="s">
        <v>109</v>
      </c>
      <c r="P17" s="35" t="s">
        <v>110</v>
      </c>
    </row>
    <row r="18" spans="2:16" ht="15.6" x14ac:dyDescent="0.35">
      <c r="B18" s="21" t="s">
        <v>98</v>
      </c>
      <c r="C18" s="26">
        <f>C17-C16</f>
        <v>1210.6424369863148</v>
      </c>
      <c r="D18" s="21" t="s">
        <v>42</v>
      </c>
      <c r="I18" s="26"/>
      <c r="J18" s="21"/>
      <c r="P18" s="35" t="s">
        <v>142</v>
      </c>
    </row>
    <row r="19" spans="2:16" ht="15.6" x14ac:dyDescent="0.35">
      <c r="B19" s="21" t="s">
        <v>99</v>
      </c>
      <c r="C19" s="36">
        <f>C17/C16</f>
        <v>1.4142135623730951</v>
      </c>
      <c r="I19" s="26"/>
      <c r="J19" s="21"/>
    </row>
    <row r="20" spans="2:16" x14ac:dyDescent="0.25">
      <c r="K20" s="18" t="s">
        <v>100</v>
      </c>
    </row>
    <row r="22" spans="2:16" ht="15.6" x14ac:dyDescent="0.35">
      <c r="K22" s="21" t="s">
        <v>101</v>
      </c>
      <c r="L22" s="21" t="s">
        <v>102</v>
      </c>
      <c r="M22" s="21" t="s">
        <v>103</v>
      </c>
      <c r="N22" s="21" t="s">
        <v>104</v>
      </c>
    </row>
    <row r="23" spans="2:16" x14ac:dyDescent="0.25">
      <c r="B23" s="21"/>
      <c r="C23" s="26"/>
      <c r="K23" s="23">
        <f>L23-3400000</f>
        <v>0</v>
      </c>
      <c r="L23" s="23">
        <v>3400000</v>
      </c>
      <c r="M23" s="26">
        <f t="shared" ref="M23:M40" si="0">SQRT($C$11*$C$12/L23)</f>
        <v>3544.3542513162438</v>
      </c>
      <c r="N23" s="26">
        <f>SQRT(2)*M23</f>
        <v>5012.4738520661695</v>
      </c>
      <c r="O23" s="21" t="s">
        <v>112</v>
      </c>
    </row>
    <row r="24" spans="2:16" x14ac:dyDescent="0.25">
      <c r="K24" s="23">
        <v>100000</v>
      </c>
      <c r="L24" s="23">
        <f>3400000+K24</f>
        <v>3500000</v>
      </c>
      <c r="M24" s="26">
        <f t="shared" si="0"/>
        <v>3493.3536895081206</v>
      </c>
      <c r="N24" s="26">
        <f t="shared" ref="N24:N40" si="1">SQRT(2)*M24</f>
        <v>4940.348165868475</v>
      </c>
    </row>
    <row r="25" spans="2:16" x14ac:dyDescent="0.25">
      <c r="K25" s="23">
        <v>200000</v>
      </c>
      <c r="L25" s="23">
        <f t="shared" ref="L25:L40" si="2">3400000+K25</f>
        <v>3600000</v>
      </c>
      <c r="M25" s="26">
        <f t="shared" si="0"/>
        <v>3444.4931896192411</v>
      </c>
      <c r="N25" s="26">
        <f t="shared" si="1"/>
        <v>4871.2489842612922</v>
      </c>
    </row>
    <row r="26" spans="2:16" x14ac:dyDescent="0.25">
      <c r="K26" s="23">
        <v>500000</v>
      </c>
      <c r="L26" s="23">
        <f t="shared" si="2"/>
        <v>3900000</v>
      </c>
      <c r="M26" s="26">
        <f t="shared" si="0"/>
        <v>3309.3620114875503</v>
      </c>
      <c r="N26" s="26">
        <f t="shared" si="1"/>
        <v>4680.1446394479999</v>
      </c>
    </row>
    <row r="27" spans="2:16" x14ac:dyDescent="0.25">
      <c r="K27" s="23">
        <v>1000000</v>
      </c>
      <c r="L27" s="23">
        <f t="shared" si="2"/>
        <v>4400000</v>
      </c>
      <c r="M27" s="26">
        <f t="shared" si="0"/>
        <v>3115.6613189731415</v>
      </c>
      <c r="N27" s="26">
        <f t="shared" si="1"/>
        <v>4406.2104930530631</v>
      </c>
    </row>
    <row r="28" spans="2:16" x14ac:dyDescent="0.25">
      <c r="K28" s="23">
        <v>2000000</v>
      </c>
      <c r="L28" s="23">
        <f t="shared" si="2"/>
        <v>5400000</v>
      </c>
      <c r="M28" s="26">
        <f t="shared" si="0"/>
        <v>2812.4169123529477</v>
      </c>
      <c r="N28" s="26">
        <f t="shared" si="1"/>
        <v>3977.3581404970032</v>
      </c>
    </row>
    <row r="29" spans="2:16" x14ac:dyDescent="0.25">
      <c r="K29" s="23">
        <v>3000000</v>
      </c>
      <c r="L29" s="23">
        <f t="shared" si="2"/>
        <v>6400000</v>
      </c>
      <c r="M29" s="26">
        <f t="shared" si="0"/>
        <v>2583.3698922144308</v>
      </c>
      <c r="N29" s="26">
        <f t="shared" si="1"/>
        <v>3653.4367381959692</v>
      </c>
    </row>
    <row r="30" spans="2:16" x14ac:dyDescent="0.25">
      <c r="K30" s="23">
        <v>4000000</v>
      </c>
      <c r="L30" s="23">
        <f t="shared" si="2"/>
        <v>7400000</v>
      </c>
      <c r="M30" s="26">
        <f t="shared" si="0"/>
        <v>2402.4851997744199</v>
      </c>
      <c r="N30" s="26">
        <f t="shared" si="1"/>
        <v>3397.6271529216197</v>
      </c>
    </row>
    <row r="31" spans="2:16" x14ac:dyDescent="0.25">
      <c r="K31" s="23">
        <v>5000000</v>
      </c>
      <c r="L31" s="23">
        <f t="shared" si="2"/>
        <v>8400000</v>
      </c>
      <c r="M31" s="26">
        <f t="shared" si="0"/>
        <v>2254.9501103128646</v>
      </c>
      <c r="N31" s="26">
        <f t="shared" si="1"/>
        <v>3188.9810284791602</v>
      </c>
    </row>
    <row r="32" spans="2:16" x14ac:dyDescent="0.25">
      <c r="K32" s="23">
        <v>6000000</v>
      </c>
      <c r="L32" s="23">
        <f t="shared" si="2"/>
        <v>9400000</v>
      </c>
      <c r="M32" s="26">
        <f t="shared" si="0"/>
        <v>2131.6340750202025</v>
      </c>
      <c r="N32" s="26">
        <f t="shared" si="1"/>
        <v>3014.5858189101982</v>
      </c>
    </row>
    <row r="33" spans="11:14" x14ac:dyDescent="0.25">
      <c r="K33" s="23">
        <v>7000000</v>
      </c>
      <c r="L33" s="23">
        <f t="shared" si="2"/>
        <v>10400000</v>
      </c>
      <c r="M33" s="26">
        <f t="shared" si="0"/>
        <v>2026.562075573765</v>
      </c>
      <c r="N33" s="26">
        <f t="shared" si="1"/>
        <v>2865.9915722673877</v>
      </c>
    </row>
    <row r="34" spans="11:14" x14ac:dyDescent="0.25">
      <c r="K34" s="23">
        <v>8000000</v>
      </c>
      <c r="L34" s="23">
        <f t="shared" si="2"/>
        <v>11400000</v>
      </c>
      <c r="M34" s="26">
        <f t="shared" si="0"/>
        <v>1935.6380696922927</v>
      </c>
      <c r="N34" s="26">
        <f t="shared" si="1"/>
        <v>2737.4056100045186</v>
      </c>
    </row>
    <row r="35" spans="11:14" x14ac:dyDescent="0.25">
      <c r="K35" s="23">
        <v>9000000</v>
      </c>
      <c r="L35" s="23">
        <f t="shared" si="2"/>
        <v>12400000</v>
      </c>
      <c r="M35" s="26">
        <f t="shared" si="0"/>
        <v>1855.947718952199</v>
      </c>
      <c r="N35" s="26">
        <f t="shared" si="1"/>
        <v>2624.7064351976092</v>
      </c>
    </row>
    <row r="36" spans="11:14" x14ac:dyDescent="0.25">
      <c r="K36" s="23">
        <v>10000000</v>
      </c>
      <c r="L36" s="23">
        <f t="shared" si="2"/>
        <v>13400000</v>
      </c>
      <c r="M36" s="26">
        <f t="shared" si="0"/>
        <v>1785.3533451852545</v>
      </c>
      <c r="N36" s="26">
        <f t="shared" si="1"/>
        <v>2524.870914389161</v>
      </c>
    </row>
    <row r="37" spans="11:14" x14ac:dyDescent="0.25">
      <c r="K37" s="23">
        <v>15000000</v>
      </c>
      <c r="L37" s="23">
        <f t="shared" si="2"/>
        <v>18400000</v>
      </c>
      <c r="M37" s="26">
        <f t="shared" si="0"/>
        <v>1523.5884415190458</v>
      </c>
      <c r="N37" s="26">
        <f t="shared" si="1"/>
        <v>2154.6794374711217</v>
      </c>
    </row>
    <row r="38" spans="11:14" x14ac:dyDescent="0.25">
      <c r="K38" s="23">
        <v>20000000</v>
      </c>
      <c r="L38" s="23">
        <f t="shared" si="2"/>
        <v>23400000</v>
      </c>
      <c r="M38" s="26">
        <f t="shared" si="0"/>
        <v>1351.0413837158433</v>
      </c>
      <c r="N38" s="26">
        <f t="shared" si="1"/>
        <v>1910.6610481782584</v>
      </c>
    </row>
    <row r="39" spans="11:14" x14ac:dyDescent="0.25">
      <c r="K39" s="23">
        <v>25000000</v>
      </c>
      <c r="L39" s="23">
        <f t="shared" si="2"/>
        <v>28400000</v>
      </c>
      <c r="M39" s="26">
        <f t="shared" si="0"/>
        <v>1226.3584017641274</v>
      </c>
      <c r="N39" s="26">
        <f t="shared" si="1"/>
        <v>1734.3326841050221</v>
      </c>
    </row>
    <row r="40" spans="11:14" x14ac:dyDescent="0.25">
      <c r="K40" s="23">
        <v>30000000</v>
      </c>
      <c r="L40" s="23">
        <f t="shared" si="2"/>
        <v>33400000</v>
      </c>
      <c r="M40" s="26">
        <f t="shared" si="0"/>
        <v>1130.845690643911</v>
      </c>
      <c r="N40" s="26">
        <f t="shared" si="1"/>
        <v>1599.2573126597886</v>
      </c>
    </row>
    <row r="42" spans="11:14" x14ac:dyDescent="0.25">
      <c r="K42" s="19" t="s">
        <v>107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4"/>
  <sheetViews>
    <sheetView workbookViewId="0">
      <selection activeCell="Q24" sqref="Q24"/>
    </sheetView>
  </sheetViews>
  <sheetFormatPr defaultRowHeight="14.4" x14ac:dyDescent="0.3"/>
  <cols>
    <col min="8" max="8" width="10" customWidth="1"/>
    <col min="9" max="9" width="10" bestFit="1" customWidth="1"/>
  </cols>
  <sheetData>
    <row r="2" spans="2:15" ht="15.6" x14ac:dyDescent="0.3">
      <c r="B2" s="1" t="s">
        <v>146</v>
      </c>
    </row>
    <row r="4" spans="2:15" x14ac:dyDescent="0.3">
      <c r="H4" t="s">
        <v>108</v>
      </c>
      <c r="I4" s="7">
        <v>2</v>
      </c>
      <c r="J4" t="s">
        <v>15</v>
      </c>
      <c r="K4" t="s">
        <v>113</v>
      </c>
    </row>
    <row r="5" spans="2:15" x14ac:dyDescent="0.3">
      <c r="H5" t="s">
        <v>114</v>
      </c>
      <c r="I5" s="7">
        <f>'forza del vento a Terra'!C9</f>
        <v>101325</v>
      </c>
      <c r="J5" t="s">
        <v>11</v>
      </c>
      <c r="K5" t="s">
        <v>115</v>
      </c>
    </row>
    <row r="6" spans="2:15" x14ac:dyDescent="0.3">
      <c r="H6" t="s">
        <v>116</v>
      </c>
      <c r="I6" s="7">
        <f>'forza del vento su Marte'!C9</f>
        <v>700</v>
      </c>
      <c r="J6" t="s">
        <v>11</v>
      </c>
      <c r="K6" t="s">
        <v>117</v>
      </c>
    </row>
    <row r="7" spans="2:15" x14ac:dyDescent="0.3">
      <c r="H7" s="14" t="s">
        <v>118</v>
      </c>
      <c r="I7" s="7">
        <f>I5-I6</f>
        <v>100625</v>
      </c>
      <c r="J7" t="s">
        <v>11</v>
      </c>
      <c r="K7" t="s">
        <v>119</v>
      </c>
    </row>
    <row r="8" spans="2:15" x14ac:dyDescent="0.3">
      <c r="H8" s="14" t="s">
        <v>70</v>
      </c>
      <c r="I8" s="7">
        <v>250</v>
      </c>
      <c r="J8" t="s">
        <v>125</v>
      </c>
      <c r="K8" t="s">
        <v>126</v>
      </c>
      <c r="N8">
        <f>I8*0.000001</f>
        <v>2.5000000000000001E-4</v>
      </c>
      <c r="O8" t="s">
        <v>15</v>
      </c>
    </row>
    <row r="9" spans="2:15" ht="15.6" x14ac:dyDescent="0.35">
      <c r="H9" s="14" t="s">
        <v>127</v>
      </c>
      <c r="I9" s="29">
        <f>40000000</f>
        <v>40000000</v>
      </c>
      <c r="J9" t="s">
        <v>11</v>
      </c>
      <c r="K9" t="s">
        <v>128</v>
      </c>
    </row>
    <row r="11" spans="2:15" x14ac:dyDescent="0.3">
      <c r="H11" s="14" t="s">
        <v>129</v>
      </c>
      <c r="I11">
        <f>PI()*I4^2/4</f>
        <v>3.1415926535897931</v>
      </c>
      <c r="J11" t="s">
        <v>121</v>
      </c>
      <c r="K11" t="s">
        <v>122</v>
      </c>
    </row>
    <row r="12" spans="2:15" x14ac:dyDescent="0.3">
      <c r="H12" s="14" t="s">
        <v>143</v>
      </c>
      <c r="I12">
        <f>PI()*I4*N8</f>
        <v>1.5707963267948967E-3</v>
      </c>
      <c r="J12" t="s">
        <v>121</v>
      </c>
      <c r="K12" t="s">
        <v>131</v>
      </c>
    </row>
    <row r="13" spans="2:15" x14ac:dyDescent="0.3">
      <c r="H13" s="14" t="s">
        <v>120</v>
      </c>
      <c r="I13" s="4">
        <f>I7*I11</f>
        <v>316122.76076747291</v>
      </c>
      <c r="J13" t="s">
        <v>18</v>
      </c>
      <c r="K13" t="s">
        <v>123</v>
      </c>
      <c r="N13" s="4">
        <f>I13/9.8/1000</f>
        <v>32.257424568109478</v>
      </c>
      <c r="O13" t="s">
        <v>124</v>
      </c>
    </row>
    <row r="14" spans="2:15" ht="15.6" x14ac:dyDescent="0.35">
      <c r="H14" s="14" t="s">
        <v>130</v>
      </c>
      <c r="I14" s="15">
        <f>I13/I12</f>
        <v>201249999.99999997</v>
      </c>
      <c r="J14" t="s">
        <v>11</v>
      </c>
      <c r="K14" t="s">
        <v>148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Titolo</vt:lpstr>
      <vt:lpstr>consumo ossigeno</vt:lpstr>
      <vt:lpstr>forza del vento su Marte</vt:lpstr>
      <vt:lpstr>forza del vento a Terra</vt:lpstr>
      <vt:lpstr>rovesciamento MAV</vt:lpstr>
      <vt:lpstr>g marziana</vt:lpstr>
      <vt:lpstr>temp. e velocità gas </vt:lpstr>
      <vt:lpstr>orbite</vt:lpstr>
      <vt:lpstr>riparazione HAB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Marco</cp:lastModifiedBy>
  <dcterms:created xsi:type="dcterms:W3CDTF">2016-02-22T14:59:42Z</dcterms:created>
  <dcterms:modified xsi:type="dcterms:W3CDTF">2016-05-22T13:17:40Z</dcterms:modified>
</cp:coreProperties>
</file>