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COVER" sheetId="8" r:id="rId1"/>
    <sheet name=" breve periodo" sheetId="7" r:id="rId2"/>
    <sheet name="lungo periodo" sheetId="6" r:id="rId3"/>
  </sheets>
  <calcPr calcId="145621"/>
</workbook>
</file>

<file path=xl/calcChain.xml><?xml version="1.0" encoding="utf-8"?>
<calcChain xmlns="http://schemas.openxmlformats.org/spreadsheetml/2006/main">
  <c r="P40" i="7" l="1"/>
  <c r="P41" i="7"/>
  <c r="P42" i="7"/>
  <c r="P43" i="7"/>
  <c r="P39" i="7"/>
  <c r="O39" i="7"/>
  <c r="O40" i="7"/>
  <c r="O41" i="7"/>
  <c r="O42" i="7"/>
  <c r="O43" i="7"/>
  <c r="N39" i="7"/>
  <c r="N40" i="7"/>
  <c r="N41" i="7"/>
  <c r="N42" i="7"/>
  <c r="N43" i="7"/>
  <c r="C45" i="6" l="1"/>
  <c r="C46" i="7"/>
  <c r="B42" i="7"/>
  <c r="H29" i="7" s="1"/>
  <c r="G30" i="7"/>
  <c r="E30" i="7"/>
  <c r="G29" i="7"/>
  <c r="E29" i="7"/>
  <c r="C29" i="7"/>
  <c r="B41" i="7" s="1"/>
  <c r="C15" i="7"/>
  <c r="C14" i="7"/>
  <c r="C33" i="7" s="1"/>
  <c r="C13" i="7"/>
  <c r="K7" i="7"/>
  <c r="C18" i="7" l="1"/>
  <c r="C20" i="7"/>
  <c r="C17" i="7"/>
  <c r="C19" i="7"/>
  <c r="F29" i="7"/>
  <c r="F30" i="7"/>
  <c r="C15" i="6"/>
  <c r="C13" i="6"/>
  <c r="B40" i="6" s="1"/>
  <c r="G30" i="6"/>
  <c r="E30" i="6"/>
  <c r="C14" i="6"/>
  <c r="C33" i="6" s="1"/>
  <c r="G29" i="6"/>
  <c r="E29" i="6"/>
  <c r="C29" i="6"/>
  <c r="K7" i="6"/>
  <c r="F32" i="7" l="1"/>
  <c r="H32" i="7" s="1"/>
  <c r="F31" i="7"/>
  <c r="G34" i="7" s="1"/>
  <c r="D42" i="7"/>
  <c r="D41" i="7"/>
  <c r="D38" i="7"/>
  <c r="C24" i="7"/>
  <c r="B39" i="7" s="1"/>
  <c r="C39" i="7" s="1"/>
  <c r="D40" i="7"/>
  <c r="J41" i="7"/>
  <c r="J40" i="7"/>
  <c r="C40" i="7"/>
  <c r="F40" i="7" s="1"/>
  <c r="C23" i="7"/>
  <c r="B43" i="7" s="1"/>
  <c r="C43" i="7" s="1"/>
  <c r="C16" i="7"/>
  <c r="K40" i="7"/>
  <c r="C42" i="7"/>
  <c r="C41" i="7"/>
  <c r="F41" i="7" s="1"/>
  <c r="C38" i="7"/>
  <c r="F38" i="7" s="1"/>
  <c r="C34" i="7"/>
  <c r="C19" i="6"/>
  <c r="C18" i="6"/>
  <c r="C20" i="6"/>
  <c r="F30" i="6"/>
  <c r="F29" i="6"/>
  <c r="C17" i="6"/>
  <c r="L40" i="7" l="1"/>
  <c r="F43" i="7"/>
  <c r="F39" i="7"/>
  <c r="F42" i="7"/>
  <c r="H30" i="7"/>
  <c r="C21" i="7"/>
  <c r="J42" i="7"/>
  <c r="D39" i="7"/>
  <c r="D43" i="7"/>
  <c r="J40" i="6"/>
  <c r="C38" i="6"/>
  <c r="F38" i="6" s="1"/>
  <c r="C23" i="6"/>
  <c r="B42" i="6" s="1"/>
  <c r="C16" i="6"/>
  <c r="B41" i="6" s="1"/>
  <c r="H29" i="6" s="1"/>
  <c r="J41" i="6"/>
  <c r="D38" i="6"/>
  <c r="D42" i="6"/>
  <c r="D41" i="6"/>
  <c r="C24" i="6"/>
  <c r="B39" i="6" s="1"/>
  <c r="D40" i="6"/>
  <c r="C41" i="6"/>
  <c r="F41" i="6" s="1"/>
  <c r="C40" i="6"/>
  <c r="F40" i="6" s="1"/>
  <c r="C34" i="6"/>
  <c r="C42" i="6" s="1"/>
  <c r="F32" i="6"/>
  <c r="H32" i="6" s="1"/>
  <c r="F31" i="6"/>
  <c r="E43" i="7" l="1"/>
  <c r="E40" i="7"/>
  <c r="E39" i="7"/>
  <c r="C25" i="7"/>
  <c r="E42" i="7"/>
  <c r="E41" i="7"/>
  <c r="E38" i="7"/>
  <c r="K41" i="7"/>
  <c r="C21" i="6"/>
  <c r="J42" i="6"/>
  <c r="D39" i="6"/>
  <c r="F42" i="6"/>
  <c r="K40" i="6"/>
  <c r="H30" i="6"/>
  <c r="G34" i="6"/>
  <c r="L41" i="7" l="1"/>
  <c r="K42" i="7"/>
  <c r="L42" i="7" s="1"/>
  <c r="E38" i="6"/>
  <c r="E40" i="6"/>
  <c r="E42" i="6"/>
  <c r="E41" i="6"/>
  <c r="E39" i="6"/>
  <c r="C25" i="6"/>
  <c r="L40" i="6"/>
  <c r="K41" i="6"/>
  <c r="L41" i="6" s="1"/>
  <c r="C39" i="6"/>
  <c r="F39" i="6" s="1"/>
  <c r="K42" i="6" l="1"/>
  <c r="L42" i="6" s="1"/>
</calcChain>
</file>

<file path=xl/sharedStrings.xml><?xml version="1.0" encoding="utf-8"?>
<sst xmlns="http://schemas.openxmlformats.org/spreadsheetml/2006/main" count="190" uniqueCount="72">
  <si>
    <t>dati anno 2013</t>
  </si>
  <si>
    <t>q</t>
  </si>
  <si>
    <t>p</t>
  </si>
  <si>
    <t>t</t>
  </si>
  <si>
    <t>USD/barile</t>
  </si>
  <si>
    <t>1 barile</t>
  </si>
  <si>
    <t>kg</t>
  </si>
  <si>
    <t>Il barile è una'unità di volume</t>
  </si>
  <si>
    <t>dipende dalla densità( variabile) del perolio</t>
  </si>
  <si>
    <t>USD/t</t>
  </si>
  <si>
    <t>elasticità della domanda al prezzo</t>
  </si>
  <si>
    <t>Calcoli</t>
  </si>
  <si>
    <t>a</t>
  </si>
  <si>
    <t>b</t>
  </si>
  <si>
    <t>USD/t^2</t>
  </si>
  <si>
    <t>ordinata origine</t>
  </si>
  <si>
    <t>inter.s asse x</t>
  </si>
  <si>
    <t>pq= ricavo</t>
  </si>
  <si>
    <t>prezzo oggi</t>
  </si>
  <si>
    <t>oggi</t>
  </si>
  <si>
    <t>media 2013</t>
  </si>
  <si>
    <t>elasticità dell' offerta al prezzo</t>
  </si>
  <si>
    <t>Calcoli domanda</t>
  </si>
  <si>
    <t>Calcoli offerta</t>
  </si>
  <si>
    <t>d</t>
  </si>
  <si>
    <t>c</t>
  </si>
  <si>
    <t>qo,po</t>
  </si>
  <si>
    <t>q1,p1</t>
  </si>
  <si>
    <r>
      <t>ε</t>
    </r>
    <r>
      <rPr>
        <vertAlign val="subscript"/>
        <sz val="11"/>
        <color theme="1"/>
        <rFont val="Calibri"/>
        <family val="2"/>
      </rPr>
      <t>D</t>
    </r>
  </si>
  <si>
    <r>
      <t>ε</t>
    </r>
    <r>
      <rPr>
        <vertAlign val="subscript"/>
        <sz val="11"/>
        <color theme="1"/>
        <rFont val="Calibri"/>
        <family val="2"/>
      </rPr>
      <t>S</t>
    </r>
  </si>
  <si>
    <t>p0</t>
  </si>
  <si>
    <t>q0</t>
  </si>
  <si>
    <t>p1</t>
  </si>
  <si>
    <t>e</t>
  </si>
  <si>
    <t>q1</t>
  </si>
  <si>
    <t>ordinata all'origine di D</t>
  </si>
  <si>
    <t>ordinata all'origine di S0</t>
  </si>
  <si>
    <t>ordinata all'origine di S1</t>
  </si>
  <si>
    <t>D</t>
  </si>
  <si>
    <t>Intersezioni curve con asse x</t>
  </si>
  <si>
    <t>a/b</t>
  </si>
  <si>
    <t>e/d</t>
  </si>
  <si>
    <t>c/d</t>
  </si>
  <si>
    <t>S0</t>
  </si>
  <si>
    <t>S1</t>
  </si>
  <si>
    <t>pS0</t>
  </si>
  <si>
    <t>pS1</t>
  </si>
  <si>
    <t>PD</t>
  </si>
  <si>
    <t>Consumatore</t>
  </si>
  <si>
    <t>Produttore</t>
  </si>
  <si>
    <t>Benessere sociale</t>
  </si>
  <si>
    <t>delta%</t>
  </si>
  <si>
    <t>USD</t>
  </si>
  <si>
    <t>produzione 2013</t>
  </si>
  <si>
    <t>adim</t>
  </si>
  <si>
    <t>prezzo medio  2013</t>
  </si>
  <si>
    <t>litri</t>
  </si>
  <si>
    <t>INGRANDIMENTO</t>
  </si>
  <si>
    <t>delta%ricavo</t>
  </si>
  <si>
    <t>tra media 2013 ed oggi</t>
  </si>
  <si>
    <t>EFFETTO SPOSTAMENTO CURVA DI OFFERTA SUL MERCATO DEL PETROLIO</t>
  </si>
  <si>
    <t>BREVE PERIODO</t>
  </si>
  <si>
    <t>LUNGO PERIODO</t>
  </si>
  <si>
    <t>pari a circa</t>
  </si>
  <si>
    <t>Trilione = mille miliardi = 10^12</t>
  </si>
  <si>
    <t>TAVOLA DEI SURPLUS( Trilioni USD) di lungo periodo</t>
  </si>
  <si>
    <t>TAVOLA DEI SURPLUS( Trilioni USD) di breve periodo</t>
  </si>
  <si>
    <r>
      <t>ε</t>
    </r>
    <r>
      <rPr>
        <b/>
        <vertAlign val="subscript"/>
        <sz val="11"/>
        <color theme="1"/>
        <rFont val="Calibri"/>
        <family val="2"/>
      </rPr>
      <t>D</t>
    </r>
  </si>
  <si>
    <r>
      <t>ε</t>
    </r>
    <r>
      <rPr>
        <b/>
        <vertAlign val="subscript"/>
        <sz val="11"/>
        <color theme="1"/>
        <rFont val="Calibri"/>
        <family val="2"/>
      </rPr>
      <t>S0</t>
    </r>
  </si>
  <si>
    <r>
      <t>ε</t>
    </r>
    <r>
      <rPr>
        <b/>
        <vertAlign val="subscript"/>
        <sz val="11"/>
        <color theme="1"/>
        <rFont val="Calibri"/>
        <family val="2"/>
      </rPr>
      <t>S1</t>
    </r>
    <r>
      <rPr>
        <sz val="11"/>
        <color theme="1"/>
        <rFont val="Calibri"/>
        <family val="2"/>
        <scheme val="minor"/>
      </rPr>
      <t/>
    </r>
  </si>
  <si>
    <t>CROLLO DEL PREZZO DEL PETROLIO</t>
  </si>
  <si>
    <t>Autore: Hume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</si>
</sst>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1" fontId="0" fillId="2" borderId="0" xfId="0" applyNumberFormat="1" applyFill="1"/>
    <xf numFmtId="2" fontId="0" fillId="0" borderId="0" xfId="0" applyNumberFormat="1"/>
    <xf numFmtId="11" fontId="0" fillId="0" borderId="0" xfId="0" applyNumberForma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/>
    <xf numFmtId="1" fontId="0" fillId="0" borderId="0" xfId="0" applyNumberFormat="1"/>
    <xf numFmtId="0" fontId="6" fillId="0" borderId="0" xfId="0" applyFont="1"/>
    <xf numFmtId="0" fontId="8" fillId="0" borderId="0" xfId="0" applyFont="1"/>
    <xf numFmtId="0" fontId="4" fillId="0" borderId="0" xfId="0" applyFont="1"/>
    <xf numFmtId="9" fontId="0" fillId="0" borderId="0" xfId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166" fontId="0" fillId="0" borderId="1" xfId="0" applyNumberFormat="1" applyBorder="1"/>
    <xf numFmtId="9" fontId="0" fillId="0" borderId="1" xfId="1" applyFont="1" applyBorder="1"/>
    <xf numFmtId="2" fontId="0" fillId="2" borderId="0" xfId="0" applyNumberFormat="1" applyFill="1"/>
    <xf numFmtId="164" fontId="0" fillId="0" borderId="1" xfId="1" applyNumberFormat="1" applyFont="1" applyBorder="1"/>
    <xf numFmtId="11" fontId="0" fillId="3" borderId="0" xfId="0" applyNumberFormat="1" applyFill="1"/>
    <xf numFmtId="1" fontId="0" fillId="3" borderId="0" xfId="0" applyNumberFormat="1" applyFill="1"/>
    <xf numFmtId="0" fontId="0" fillId="3" borderId="0" xfId="0" applyFill="1"/>
    <xf numFmtId="0" fontId="0" fillId="0" borderId="0" xfId="0" applyNumberFormat="1"/>
    <xf numFmtId="0" fontId="0" fillId="3" borderId="0" xfId="0" applyNumberFormat="1" applyFill="1"/>
    <xf numFmtId="0" fontId="0" fillId="4" borderId="0" xfId="0" applyNumberFormat="1" applyFill="1"/>
    <xf numFmtId="0" fontId="1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Curve di domanda e offerta petrolio</a:t>
            </a:r>
          </a:p>
          <a:p>
            <a:pPr>
              <a:defRPr/>
            </a:pPr>
            <a:r>
              <a:rPr lang="en-US"/>
              <a:t>a</a:t>
            </a:r>
            <a:r>
              <a:rPr lang="en-US" baseline="0"/>
              <a:t> breve termine</a:t>
            </a:r>
            <a:endParaRPr lang="en-US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8242915287762942"/>
          <c:y val="2.6890751557687366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 breve periodo'!$C$37</c:f>
              <c:strCache>
                <c:ptCount val="1"/>
                <c:pt idx="0">
                  <c:v>PD</c:v>
                </c:pt>
              </c:strCache>
            </c:strRef>
          </c:tx>
          <c:xVal>
            <c:numRef>
              <c:f>' breve periodo'!$B$38:$B$43</c:f>
              <c:numCache>
                <c:formatCode>0.00E+00</c:formatCode>
                <c:ptCount val="6"/>
                <c:pt idx="0">
                  <c:v>0</c:v>
                </c:pt>
                <c:pt idx="1">
                  <c:v>37170000000</c:v>
                </c:pt>
                <c:pt idx="2">
                  <c:v>40000000000</c:v>
                </c:pt>
                <c:pt idx="3">
                  <c:v>41300000000</c:v>
                </c:pt>
                <c:pt idx="4">
                  <c:v>42389655204.987717</c:v>
                </c:pt>
                <c:pt idx="5">
                  <c:v>43365000000</c:v>
                </c:pt>
              </c:numCache>
            </c:numRef>
          </c:xVal>
          <c:yVal>
            <c:numRef>
              <c:f>' breve periodo'!$C$38:$C$43</c:f>
              <c:numCache>
                <c:formatCode>0</c:formatCode>
                <c:ptCount val="6"/>
                <c:pt idx="0">
                  <c:v>16467.111111111109</c:v>
                </c:pt>
                <c:pt idx="1">
                  <c:v>2352.4444444444434</c:v>
                </c:pt>
                <c:pt idx="2">
                  <c:v>1277.8007353600569</c:v>
                </c:pt>
                <c:pt idx="3">
                  <c:v>784.14814814814781</c:v>
                </c:pt>
                <c:pt idx="4">
                  <c:v>370.37037037037044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 breve periodo'!$D$37</c:f>
              <c:strCache>
                <c:ptCount val="1"/>
                <c:pt idx="0">
                  <c:v>pS0</c:v>
                </c:pt>
              </c:strCache>
            </c:strRef>
          </c:tx>
          <c:xVal>
            <c:numRef>
              <c:f>' breve periodo'!$B$38:$B$43</c:f>
              <c:numCache>
                <c:formatCode>0.00E+00</c:formatCode>
                <c:ptCount val="6"/>
                <c:pt idx="0">
                  <c:v>0</c:v>
                </c:pt>
                <c:pt idx="1">
                  <c:v>37170000000</c:v>
                </c:pt>
                <c:pt idx="2">
                  <c:v>40000000000</c:v>
                </c:pt>
                <c:pt idx="3">
                  <c:v>41300000000</c:v>
                </c:pt>
                <c:pt idx="4">
                  <c:v>42389655204.987717</c:v>
                </c:pt>
                <c:pt idx="5">
                  <c:v>43365000000</c:v>
                </c:pt>
              </c:numCache>
            </c:numRef>
          </c:xVal>
          <c:yVal>
            <c:numRef>
              <c:f>' breve periodo'!$D$38:$D$43</c:f>
              <c:numCache>
                <c:formatCode>0</c:formatCode>
                <c:ptCount val="6"/>
                <c:pt idx="0">
                  <c:v>-7057.333333333333</c:v>
                </c:pt>
                <c:pt idx="1">
                  <c:v>0</c:v>
                </c:pt>
                <c:pt idx="2">
                  <c:v>537.32185454219325</c:v>
                </c:pt>
                <c:pt idx="3">
                  <c:v>784.14814814814781</c:v>
                </c:pt>
                <c:pt idx="4">
                  <c:v>991.0370370370365</c:v>
                </c:pt>
                <c:pt idx="5">
                  <c:v>1176.2222222222217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 breve periodo'!$E$37</c:f>
              <c:strCache>
                <c:ptCount val="1"/>
                <c:pt idx="0">
                  <c:v>pS1</c:v>
                </c:pt>
              </c:strCache>
            </c:strRef>
          </c:tx>
          <c:xVal>
            <c:numRef>
              <c:f>' breve periodo'!$B$38:$B$43</c:f>
              <c:numCache>
                <c:formatCode>0.00E+00</c:formatCode>
                <c:ptCount val="6"/>
                <c:pt idx="0">
                  <c:v>0</c:v>
                </c:pt>
                <c:pt idx="1">
                  <c:v>37170000000</c:v>
                </c:pt>
                <c:pt idx="2">
                  <c:v>40000000000</c:v>
                </c:pt>
                <c:pt idx="3">
                  <c:v>41300000000</c:v>
                </c:pt>
                <c:pt idx="4">
                  <c:v>42389655204.987717</c:v>
                </c:pt>
                <c:pt idx="5">
                  <c:v>43365000000</c:v>
                </c:pt>
              </c:numCache>
            </c:numRef>
          </c:xVal>
          <c:yVal>
            <c:numRef>
              <c:f>' breve periodo'!$E$38:$E$43</c:f>
              <c:numCache>
                <c:formatCode>0</c:formatCode>
                <c:ptCount val="6"/>
                <c:pt idx="0">
                  <c:v>-7677.9999999999964</c:v>
                </c:pt>
                <c:pt idx="1">
                  <c:v>-620.66666666666333</c:v>
                </c:pt>
                <c:pt idx="2">
                  <c:v>-83.344812124470081</c:v>
                </c:pt>
                <c:pt idx="3">
                  <c:v>163.48148148148448</c:v>
                </c:pt>
                <c:pt idx="4">
                  <c:v>370.37037037037317</c:v>
                </c:pt>
                <c:pt idx="5">
                  <c:v>555.55555555555839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894784"/>
        <c:axId val="247896704"/>
      </c:scatterChart>
      <c:valAx>
        <c:axId val="24789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quantità</a:t>
                </a:r>
                <a:r>
                  <a:rPr lang="en-US" baseline="0"/>
                  <a:t> </a:t>
                </a:r>
                <a:r>
                  <a:rPr lang="en-US"/>
                  <a:t>(t)</a:t>
                </a:r>
              </a:p>
            </c:rich>
          </c:tx>
          <c:layout>
            <c:manualLayout>
              <c:xMode val="edge"/>
              <c:yMode val="edge"/>
              <c:x val="0.43443178298364876"/>
              <c:y val="0.85474512366922539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247896704"/>
        <c:crosses val="autoZero"/>
        <c:crossBetween val="midCat"/>
      </c:valAx>
      <c:valAx>
        <c:axId val="247896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prezzo(USD/t)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47894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Curve di domanda e offerta petrolio</a:t>
            </a:r>
          </a:p>
          <a:p>
            <a:pPr>
              <a:defRPr/>
            </a:pPr>
            <a:r>
              <a:rPr lang="en-US"/>
              <a:t>a breve termine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8242915287762942"/>
          <c:y val="2.6890751557687366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 breve periodo'!$C$37</c:f>
              <c:strCache>
                <c:ptCount val="1"/>
                <c:pt idx="0">
                  <c:v>PD</c:v>
                </c:pt>
              </c:strCache>
            </c:strRef>
          </c:tx>
          <c:xVal>
            <c:numRef>
              <c:f>' breve periodo'!$B$38:$B$43</c:f>
              <c:numCache>
                <c:formatCode>0.00E+00</c:formatCode>
                <c:ptCount val="6"/>
                <c:pt idx="0">
                  <c:v>0</c:v>
                </c:pt>
                <c:pt idx="1">
                  <c:v>37170000000</c:v>
                </c:pt>
                <c:pt idx="2">
                  <c:v>40000000000</c:v>
                </c:pt>
                <c:pt idx="3">
                  <c:v>41300000000</c:v>
                </c:pt>
                <c:pt idx="4">
                  <c:v>42389655204.987717</c:v>
                </c:pt>
                <c:pt idx="5">
                  <c:v>43365000000</c:v>
                </c:pt>
              </c:numCache>
            </c:numRef>
          </c:xVal>
          <c:yVal>
            <c:numRef>
              <c:f>' breve periodo'!$C$38:$C$43</c:f>
              <c:numCache>
                <c:formatCode>0</c:formatCode>
                <c:ptCount val="6"/>
                <c:pt idx="0">
                  <c:v>16467.111111111109</c:v>
                </c:pt>
                <c:pt idx="1">
                  <c:v>2352.4444444444434</c:v>
                </c:pt>
                <c:pt idx="2">
                  <c:v>1277.8007353600569</c:v>
                </c:pt>
                <c:pt idx="3">
                  <c:v>784.14814814814781</c:v>
                </c:pt>
                <c:pt idx="4">
                  <c:v>370.37037037037044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 breve periodo'!$D$37</c:f>
              <c:strCache>
                <c:ptCount val="1"/>
                <c:pt idx="0">
                  <c:v>pS0</c:v>
                </c:pt>
              </c:strCache>
            </c:strRef>
          </c:tx>
          <c:xVal>
            <c:numRef>
              <c:f>' breve periodo'!$B$38:$B$43</c:f>
              <c:numCache>
                <c:formatCode>0.00E+00</c:formatCode>
                <c:ptCount val="6"/>
                <c:pt idx="0">
                  <c:v>0</c:v>
                </c:pt>
                <c:pt idx="1">
                  <c:v>37170000000</c:v>
                </c:pt>
                <c:pt idx="2">
                  <c:v>40000000000</c:v>
                </c:pt>
                <c:pt idx="3">
                  <c:v>41300000000</c:v>
                </c:pt>
                <c:pt idx="4">
                  <c:v>42389655204.987717</c:v>
                </c:pt>
                <c:pt idx="5">
                  <c:v>43365000000</c:v>
                </c:pt>
              </c:numCache>
            </c:numRef>
          </c:xVal>
          <c:yVal>
            <c:numRef>
              <c:f>' breve periodo'!$D$38:$D$43</c:f>
              <c:numCache>
                <c:formatCode>0</c:formatCode>
                <c:ptCount val="6"/>
                <c:pt idx="0">
                  <c:v>-7057.333333333333</c:v>
                </c:pt>
                <c:pt idx="1">
                  <c:v>0</c:v>
                </c:pt>
                <c:pt idx="2">
                  <c:v>537.32185454219325</c:v>
                </c:pt>
                <c:pt idx="3">
                  <c:v>784.14814814814781</c:v>
                </c:pt>
                <c:pt idx="4">
                  <c:v>991.0370370370365</c:v>
                </c:pt>
                <c:pt idx="5">
                  <c:v>1176.2222222222217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 breve periodo'!$E$37</c:f>
              <c:strCache>
                <c:ptCount val="1"/>
                <c:pt idx="0">
                  <c:v>pS1</c:v>
                </c:pt>
              </c:strCache>
            </c:strRef>
          </c:tx>
          <c:xVal>
            <c:numRef>
              <c:f>' breve periodo'!$B$38:$B$43</c:f>
              <c:numCache>
                <c:formatCode>0.00E+00</c:formatCode>
                <c:ptCount val="6"/>
                <c:pt idx="0">
                  <c:v>0</c:v>
                </c:pt>
                <c:pt idx="1">
                  <c:v>37170000000</c:v>
                </c:pt>
                <c:pt idx="2">
                  <c:v>40000000000</c:v>
                </c:pt>
                <c:pt idx="3">
                  <c:v>41300000000</c:v>
                </c:pt>
                <c:pt idx="4">
                  <c:v>42389655204.987717</c:v>
                </c:pt>
                <c:pt idx="5">
                  <c:v>43365000000</c:v>
                </c:pt>
              </c:numCache>
            </c:numRef>
          </c:xVal>
          <c:yVal>
            <c:numRef>
              <c:f>' breve periodo'!$E$38:$E$43</c:f>
              <c:numCache>
                <c:formatCode>0</c:formatCode>
                <c:ptCount val="6"/>
                <c:pt idx="0">
                  <c:v>-7677.9999999999964</c:v>
                </c:pt>
                <c:pt idx="1">
                  <c:v>-620.66666666666333</c:v>
                </c:pt>
                <c:pt idx="2">
                  <c:v>-83.344812124470081</c:v>
                </c:pt>
                <c:pt idx="3">
                  <c:v>163.48148148148448</c:v>
                </c:pt>
                <c:pt idx="4">
                  <c:v>370.37037037037317</c:v>
                </c:pt>
                <c:pt idx="5">
                  <c:v>555.55555555555839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13376"/>
        <c:axId val="249015296"/>
      </c:scatterChart>
      <c:valAx>
        <c:axId val="249013376"/>
        <c:scaling>
          <c:orientation val="minMax"/>
          <c:min val="300000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quantità</a:t>
                </a:r>
                <a:r>
                  <a:rPr lang="en-US" baseline="0"/>
                  <a:t> </a:t>
                </a:r>
                <a:r>
                  <a:rPr lang="en-US"/>
                  <a:t>(t)</a:t>
                </a:r>
              </a:p>
            </c:rich>
          </c:tx>
          <c:layout>
            <c:manualLayout>
              <c:xMode val="edge"/>
              <c:yMode val="edge"/>
              <c:x val="0.43443178298364876"/>
              <c:y val="0.85474512366922539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249015296"/>
        <c:crosses val="autoZero"/>
        <c:crossBetween val="midCat"/>
      </c:valAx>
      <c:valAx>
        <c:axId val="249015296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prezzo(USD/t)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49013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Curve di domanda e offerta petrolio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8242915287762942"/>
          <c:y val="2.6890751557687366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'lungo periodo'!$C$37</c:f>
              <c:strCache>
                <c:ptCount val="1"/>
                <c:pt idx="0">
                  <c:v>PD</c:v>
                </c:pt>
              </c:strCache>
            </c:strRef>
          </c:tx>
          <c:xVal>
            <c:numRef>
              <c:f>'lungo periodo'!$B$38:$B$42</c:f>
              <c:numCache>
                <c:formatCode>0.00E+00</c:formatCode>
                <c:ptCount val="5"/>
                <c:pt idx="0">
                  <c:v>0</c:v>
                </c:pt>
                <c:pt idx="1">
                  <c:v>24780000000</c:v>
                </c:pt>
                <c:pt idx="2">
                  <c:v>41300000000</c:v>
                </c:pt>
                <c:pt idx="3">
                  <c:v>50017241639.901764</c:v>
                </c:pt>
                <c:pt idx="4">
                  <c:v>57820000000.000008</c:v>
                </c:pt>
              </c:numCache>
            </c:numRef>
          </c:xVal>
          <c:yVal>
            <c:numRef>
              <c:f>'lungo periodo'!$C$38:$C$42</c:f>
              <c:numCache>
                <c:formatCode>0</c:formatCode>
                <c:ptCount val="5"/>
                <c:pt idx="0">
                  <c:v>2744.5185185185187</c:v>
                </c:pt>
                <c:pt idx="1">
                  <c:v>1568.2962962962965</c:v>
                </c:pt>
                <c:pt idx="2">
                  <c:v>784.14814814814849</c:v>
                </c:pt>
                <c:pt idx="3">
                  <c:v>370.37037037037044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'lungo periodo'!$D$37</c:f>
              <c:strCache>
                <c:ptCount val="1"/>
                <c:pt idx="0">
                  <c:v>pS0</c:v>
                </c:pt>
              </c:strCache>
            </c:strRef>
          </c:tx>
          <c:xVal>
            <c:numRef>
              <c:f>'lungo periodo'!$B$38:$B$42</c:f>
              <c:numCache>
                <c:formatCode>0.00E+00</c:formatCode>
                <c:ptCount val="5"/>
                <c:pt idx="0">
                  <c:v>0</c:v>
                </c:pt>
                <c:pt idx="1">
                  <c:v>24780000000</c:v>
                </c:pt>
                <c:pt idx="2">
                  <c:v>41300000000</c:v>
                </c:pt>
                <c:pt idx="3">
                  <c:v>50017241639.901764</c:v>
                </c:pt>
                <c:pt idx="4">
                  <c:v>57820000000.000008</c:v>
                </c:pt>
              </c:numCache>
            </c:numRef>
          </c:xVal>
          <c:yVal>
            <c:numRef>
              <c:f>'lungo periodo'!$D$38:$D$42</c:f>
              <c:numCache>
                <c:formatCode>0</c:formatCode>
                <c:ptCount val="5"/>
                <c:pt idx="0">
                  <c:v>-1176.2222222222222</c:v>
                </c:pt>
                <c:pt idx="1">
                  <c:v>0</c:v>
                </c:pt>
                <c:pt idx="2">
                  <c:v>784.14814814814804</c:v>
                </c:pt>
                <c:pt idx="3">
                  <c:v>1197.9259259259261</c:v>
                </c:pt>
                <c:pt idx="4">
                  <c:v>1568.2962962962965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'lungo periodo'!$E$37</c:f>
              <c:strCache>
                <c:ptCount val="1"/>
                <c:pt idx="0">
                  <c:v>pS1</c:v>
                </c:pt>
              </c:strCache>
            </c:strRef>
          </c:tx>
          <c:xVal>
            <c:numRef>
              <c:f>'lungo periodo'!$B$38:$B$42</c:f>
              <c:numCache>
                <c:formatCode>0.00E+00</c:formatCode>
                <c:ptCount val="5"/>
                <c:pt idx="0">
                  <c:v>0</c:v>
                </c:pt>
                <c:pt idx="1">
                  <c:v>24780000000</c:v>
                </c:pt>
                <c:pt idx="2">
                  <c:v>41300000000</c:v>
                </c:pt>
                <c:pt idx="3">
                  <c:v>50017241639.901764</c:v>
                </c:pt>
                <c:pt idx="4">
                  <c:v>57820000000.000008</c:v>
                </c:pt>
              </c:numCache>
            </c:numRef>
          </c:xVal>
          <c:yVal>
            <c:numRef>
              <c:f>'lungo periodo'!$E$38:$E$42</c:f>
              <c:numCache>
                <c:formatCode>0</c:formatCode>
                <c:ptCount val="5"/>
                <c:pt idx="0">
                  <c:v>-2003.7777777777778</c:v>
                </c:pt>
                <c:pt idx="1">
                  <c:v>-827.55555555555566</c:v>
                </c:pt>
                <c:pt idx="2">
                  <c:v>-43.407407407407618</c:v>
                </c:pt>
                <c:pt idx="3">
                  <c:v>370.37037037037044</c:v>
                </c:pt>
                <c:pt idx="4">
                  <c:v>740.74074074074088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60736"/>
        <c:axId val="249067008"/>
      </c:scatterChart>
      <c:valAx>
        <c:axId val="249060736"/>
        <c:scaling>
          <c:orientation val="minMax"/>
          <c:max val="800000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quantità</a:t>
                </a:r>
                <a:r>
                  <a:rPr lang="en-US" baseline="0"/>
                  <a:t> </a:t>
                </a:r>
                <a:r>
                  <a:rPr lang="en-US"/>
                  <a:t>(t)</a:t>
                </a:r>
              </a:p>
            </c:rich>
          </c:tx>
          <c:layout>
            <c:manualLayout>
              <c:xMode val="edge"/>
              <c:yMode val="edge"/>
              <c:x val="0.66799185816058704"/>
              <c:y val="0.90885130663014946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249067008"/>
        <c:crosses val="autoZero"/>
        <c:crossBetween val="midCat"/>
        <c:majorUnit val="20000000000"/>
      </c:valAx>
      <c:valAx>
        <c:axId val="249067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prezzo(USD/t)</a:t>
                </a:r>
              </a:p>
            </c:rich>
          </c:tx>
          <c:layout>
            <c:manualLayout>
              <c:xMode val="edge"/>
              <c:yMode val="edge"/>
              <c:x val="1.8140589569160998E-2"/>
              <c:y val="6.3315607288219389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9060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50</xdr:row>
      <xdr:rowOff>14287</xdr:rowOff>
    </xdr:from>
    <xdr:to>
      <xdr:col>6</xdr:col>
      <xdr:colOff>609599</xdr:colOff>
      <xdr:row>64</xdr:row>
      <xdr:rowOff>180975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56</xdr:row>
      <xdr:rowOff>47625</xdr:rowOff>
    </xdr:from>
    <xdr:to>
      <xdr:col>8</xdr:col>
      <xdr:colOff>180975</xdr:colOff>
      <xdr:row>58</xdr:row>
      <xdr:rowOff>133350</xdr:rowOff>
    </xdr:to>
    <xdr:sp macro="" textlink="">
      <xdr:nvSpPr>
        <xdr:cNvPr id="4" name="Freccia a destra 3"/>
        <xdr:cNvSpPr/>
      </xdr:nvSpPr>
      <xdr:spPr>
        <a:xfrm>
          <a:off x="5686425" y="10839450"/>
          <a:ext cx="1000125" cy="46672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304801</xdr:colOff>
      <xdr:row>49</xdr:row>
      <xdr:rowOff>161924</xdr:rowOff>
    </xdr:from>
    <xdr:to>
      <xdr:col>14</xdr:col>
      <xdr:colOff>352426</xdr:colOff>
      <xdr:row>64</xdr:row>
      <xdr:rowOff>171449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190499</xdr:rowOff>
    </xdr:from>
    <xdr:to>
      <xdr:col>7</xdr:col>
      <xdr:colOff>619125</xdr:colOff>
      <xdr:row>64</xdr:row>
      <xdr:rowOff>47624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8"/>
  <sheetViews>
    <sheetView tabSelected="1" workbookViewId="0">
      <selection activeCell="E27" sqref="E27"/>
    </sheetView>
  </sheetViews>
  <sheetFormatPr defaultRowHeight="15" x14ac:dyDescent="0.25"/>
  <sheetData>
    <row r="6" spans="2:2" ht="23.25" x14ac:dyDescent="0.35">
      <c r="B6" s="28" t="s">
        <v>70</v>
      </c>
    </row>
    <row r="7" spans="2:2" x14ac:dyDescent="0.25">
      <c r="B7" s="6"/>
    </row>
    <row r="8" spans="2:2" ht="18.75" x14ac:dyDescent="0.3">
      <c r="B8" s="9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"/>
  <sheetViews>
    <sheetView workbookViewId="0">
      <selection activeCell="M27" sqref="M27"/>
    </sheetView>
  </sheetViews>
  <sheetFormatPr defaultRowHeight="15" x14ac:dyDescent="0.25"/>
  <cols>
    <col min="2" max="2" width="15.7109375" customWidth="1"/>
    <col min="3" max="3" width="9.5703125" bestFit="1" customWidth="1"/>
    <col min="4" max="4" width="10.28515625" customWidth="1"/>
    <col min="5" max="5" width="13.85546875" customWidth="1"/>
    <col min="6" max="6" width="15.28515625" bestFit="1" customWidth="1"/>
    <col min="7" max="7" width="11" bestFit="1" customWidth="1"/>
    <col min="8" max="8" width="12.7109375" bestFit="1" customWidth="1"/>
    <col min="9" max="9" width="19.85546875" bestFit="1" customWidth="1"/>
    <col min="10" max="10" width="11" bestFit="1" customWidth="1"/>
    <col min="11" max="11" width="8.5703125" bestFit="1" customWidth="1"/>
    <col min="12" max="12" width="10.5703125" bestFit="1" customWidth="1"/>
    <col min="13" max="13" width="9.5703125" bestFit="1" customWidth="1"/>
  </cols>
  <sheetData>
    <row r="3" spans="2:13" ht="18.75" x14ac:dyDescent="0.3">
      <c r="B3" s="9" t="s">
        <v>60</v>
      </c>
      <c r="I3" s="12" t="s">
        <v>61</v>
      </c>
    </row>
    <row r="5" spans="2:13" x14ac:dyDescent="0.25">
      <c r="B5" s="6" t="s">
        <v>0</v>
      </c>
    </row>
    <row r="6" spans="2:13" x14ac:dyDescent="0.25">
      <c r="B6" t="s">
        <v>1</v>
      </c>
      <c r="C6" s="2">
        <v>41300000000</v>
      </c>
      <c r="D6" t="s">
        <v>3</v>
      </c>
      <c r="E6" t="s">
        <v>53</v>
      </c>
    </row>
    <row r="7" spans="2:13" x14ac:dyDescent="0.25">
      <c r="B7" t="s">
        <v>30</v>
      </c>
      <c r="C7" s="1">
        <v>105.86</v>
      </c>
      <c r="D7" t="s">
        <v>4</v>
      </c>
      <c r="E7" t="s">
        <v>55</v>
      </c>
      <c r="J7" t="s">
        <v>5</v>
      </c>
      <c r="K7" s="1">
        <f>156</f>
        <v>156</v>
      </c>
      <c r="L7" t="s">
        <v>56</v>
      </c>
      <c r="M7" t="s">
        <v>7</v>
      </c>
    </row>
    <row r="8" spans="2:13" ht="18" x14ac:dyDescent="0.35">
      <c r="B8" s="5" t="s">
        <v>28</v>
      </c>
      <c r="C8" s="1">
        <v>-0.05</v>
      </c>
      <c r="D8" t="s">
        <v>54</v>
      </c>
      <c r="E8" t="s">
        <v>10</v>
      </c>
      <c r="J8" t="s">
        <v>63</v>
      </c>
      <c r="K8" s="1">
        <v>135</v>
      </c>
      <c r="L8" t="s">
        <v>6</v>
      </c>
      <c r="M8" t="s">
        <v>8</v>
      </c>
    </row>
    <row r="9" spans="2:13" ht="18" x14ac:dyDescent="0.35">
      <c r="B9" s="5" t="s">
        <v>29</v>
      </c>
      <c r="C9" s="20">
        <v>0.1</v>
      </c>
      <c r="D9" t="s">
        <v>54</v>
      </c>
      <c r="E9" t="s">
        <v>21</v>
      </c>
    </row>
    <row r="10" spans="2:13" x14ac:dyDescent="0.25">
      <c r="B10" s="5" t="s">
        <v>32</v>
      </c>
      <c r="C10" s="1">
        <v>50</v>
      </c>
      <c r="D10" t="s">
        <v>4</v>
      </c>
      <c r="E10" s="10" t="s">
        <v>18</v>
      </c>
    </row>
    <row r="11" spans="2:13" x14ac:dyDescent="0.25">
      <c r="B11" s="5"/>
    </row>
    <row r="12" spans="2:13" x14ac:dyDescent="0.25">
      <c r="B12" s="14" t="s">
        <v>11</v>
      </c>
    </row>
    <row r="13" spans="2:13" x14ac:dyDescent="0.25">
      <c r="B13" s="5" t="s">
        <v>31</v>
      </c>
      <c r="C13" s="4">
        <f>C6</f>
        <v>41300000000</v>
      </c>
      <c r="D13" t="s">
        <v>3</v>
      </c>
    </row>
    <row r="14" spans="2:13" x14ac:dyDescent="0.25">
      <c r="B14" s="5" t="s">
        <v>30</v>
      </c>
      <c r="C14" s="11">
        <f>C7/K8*1000</f>
        <v>784.14814814814815</v>
      </c>
      <c r="D14" t="s">
        <v>9</v>
      </c>
    </row>
    <row r="15" spans="2:13" x14ac:dyDescent="0.25">
      <c r="B15" s="5" t="s">
        <v>32</v>
      </c>
      <c r="C15" s="11">
        <f>C10/K8*1000</f>
        <v>370.37037037037032</v>
      </c>
      <c r="D15" t="s">
        <v>9</v>
      </c>
    </row>
    <row r="16" spans="2:13" x14ac:dyDescent="0.25">
      <c r="B16" s="5" t="s">
        <v>34</v>
      </c>
      <c r="C16" s="4">
        <f>(C17-C15)/C18</f>
        <v>42389655204.987717</v>
      </c>
      <c r="D16" t="s">
        <v>3</v>
      </c>
    </row>
    <row r="17" spans="2:8" x14ac:dyDescent="0.25">
      <c r="B17" s="5" t="s">
        <v>12</v>
      </c>
      <c r="C17" s="11">
        <f>(1-1/C8)*C14</f>
        <v>16467.111111111109</v>
      </c>
      <c r="D17" s="13" t="s">
        <v>9</v>
      </c>
      <c r="E17" t="s">
        <v>35</v>
      </c>
    </row>
    <row r="18" spans="2:8" x14ac:dyDescent="0.25">
      <c r="B18" s="5" t="s">
        <v>13</v>
      </c>
      <c r="C18" s="4">
        <f>-C14/(C8*C13)</f>
        <v>3.7973275939377633E-7</v>
      </c>
      <c r="D18" t="s">
        <v>14</v>
      </c>
    </row>
    <row r="19" spans="2:8" x14ac:dyDescent="0.25">
      <c r="B19" s="5" t="s">
        <v>25</v>
      </c>
      <c r="C19">
        <f>(1-1/C9)*C14</f>
        <v>-7057.333333333333</v>
      </c>
      <c r="D19" s="13" t="s">
        <v>9</v>
      </c>
      <c r="E19" t="s">
        <v>36</v>
      </c>
    </row>
    <row r="20" spans="2:8" x14ac:dyDescent="0.25">
      <c r="B20" s="5" t="s">
        <v>24</v>
      </c>
      <c r="C20" s="4">
        <f>-C14/(C9*C13)</f>
        <v>-1.8986637969688816E-7</v>
      </c>
      <c r="D20" t="s">
        <v>14</v>
      </c>
    </row>
    <row r="21" spans="2:8" x14ac:dyDescent="0.25">
      <c r="B21" s="5" t="s">
        <v>33</v>
      </c>
      <c r="C21" s="4">
        <f>C17+(C20-C18)*C16</f>
        <v>-7677.9999999999964</v>
      </c>
      <c r="D21" s="13" t="s">
        <v>9</v>
      </c>
      <c r="E21" t="s">
        <v>37</v>
      </c>
    </row>
    <row r="22" spans="2:8" x14ac:dyDescent="0.25">
      <c r="B22" s="5" t="s">
        <v>39</v>
      </c>
    </row>
    <row r="23" spans="2:8" x14ac:dyDescent="0.25">
      <c r="B23" s="5" t="s">
        <v>40</v>
      </c>
      <c r="C23" s="4">
        <f>C17/C18</f>
        <v>43365000000</v>
      </c>
      <c r="E23" t="s">
        <v>38</v>
      </c>
    </row>
    <row r="24" spans="2:8" x14ac:dyDescent="0.25">
      <c r="B24" s="5" t="s">
        <v>42</v>
      </c>
      <c r="C24" s="4">
        <f>C19/C20</f>
        <v>37170000000</v>
      </c>
      <c r="E24" t="s">
        <v>43</v>
      </c>
    </row>
    <row r="25" spans="2:8" x14ac:dyDescent="0.25">
      <c r="B25" s="5" t="s">
        <v>41</v>
      </c>
      <c r="C25" s="4">
        <f>C21/C20</f>
        <v>40438965614.963142</v>
      </c>
      <c r="E25" t="s">
        <v>44</v>
      </c>
    </row>
    <row r="26" spans="2:8" x14ac:dyDescent="0.25">
      <c r="B26" s="5"/>
    </row>
    <row r="27" spans="2:8" x14ac:dyDescent="0.25">
      <c r="B27" s="5"/>
    </row>
    <row r="28" spans="2:8" x14ac:dyDescent="0.25">
      <c r="B28" s="6" t="s">
        <v>22</v>
      </c>
      <c r="E28" s="6" t="s">
        <v>23</v>
      </c>
      <c r="F28" s="7" t="s">
        <v>26</v>
      </c>
      <c r="G28" s="7"/>
      <c r="H28" s="7" t="s">
        <v>27</v>
      </c>
    </row>
    <row r="29" spans="2:8" x14ac:dyDescent="0.25">
      <c r="B29" t="s">
        <v>1</v>
      </c>
      <c r="C29" s="4">
        <f>C6</f>
        <v>41300000000</v>
      </c>
      <c r="D29" t="s">
        <v>3</v>
      </c>
      <c r="E29" t="str">
        <f t="shared" ref="E29:G30" si="0">B29</f>
        <v>q</v>
      </c>
      <c r="F29" s="4">
        <f t="shared" si="0"/>
        <v>41300000000</v>
      </c>
      <c r="G29" t="str">
        <f t="shared" si="0"/>
        <v>t</v>
      </c>
      <c r="H29" s="4">
        <f>B42</f>
        <v>42389655204.987717</v>
      </c>
    </row>
    <row r="30" spans="2:8" x14ac:dyDescent="0.25">
      <c r="B30" t="s">
        <v>2</v>
      </c>
      <c r="E30" t="str">
        <f t="shared" si="0"/>
        <v>p</v>
      </c>
      <c r="F30" s="11">
        <f>C14</f>
        <v>784.14814814814815</v>
      </c>
      <c r="G30" t="str">
        <f>D14</f>
        <v>USD/t</v>
      </c>
      <c r="H30" s="4">
        <f>C42</f>
        <v>370.37037037037044</v>
      </c>
    </row>
    <row r="31" spans="2:8" x14ac:dyDescent="0.25">
      <c r="B31" t="s">
        <v>12</v>
      </c>
      <c r="E31" t="s">
        <v>25</v>
      </c>
      <c r="F31" s="11">
        <f>(1-1/C9)*F30</f>
        <v>-7057.333333333333</v>
      </c>
      <c r="G31" t="s">
        <v>9</v>
      </c>
      <c r="H31" s="11">
        <v>-2003.7777777777769</v>
      </c>
    </row>
    <row r="32" spans="2:8" x14ac:dyDescent="0.25">
      <c r="B32" t="s">
        <v>13</v>
      </c>
      <c r="E32" t="s">
        <v>24</v>
      </c>
      <c r="F32" s="4">
        <f>-F30/(C9*F29)</f>
        <v>-1.8986637969688816E-7</v>
      </c>
      <c r="G32" t="s">
        <v>14</v>
      </c>
      <c r="H32" s="4">
        <f>F32</f>
        <v>-1.8986637969688816E-7</v>
      </c>
    </row>
    <row r="33" spans="1:16" x14ac:dyDescent="0.25">
      <c r="B33" t="s">
        <v>15</v>
      </c>
      <c r="C33" s="3">
        <f>(1-1/C9)*C14</f>
        <v>-7057.333333333333</v>
      </c>
      <c r="F33" t="s">
        <v>15</v>
      </c>
      <c r="G33" s="10">
        <v>-3.0921181806004006E-8</v>
      </c>
    </row>
    <row r="34" spans="1:16" x14ac:dyDescent="0.25">
      <c r="B34" t="s">
        <v>16</v>
      </c>
      <c r="C34" s="4">
        <f>C17/C18</f>
        <v>43365000000</v>
      </c>
      <c r="F34" t="s">
        <v>16</v>
      </c>
      <c r="G34" s="4">
        <f>F31/F32</f>
        <v>37170000000</v>
      </c>
    </row>
    <row r="35" spans="1:16" x14ac:dyDescent="0.25">
      <c r="C35" s="4"/>
      <c r="G35" s="4"/>
    </row>
    <row r="36" spans="1:16" x14ac:dyDescent="0.25">
      <c r="B36" s="7" t="s">
        <v>3</v>
      </c>
      <c r="C36" s="7" t="s">
        <v>9</v>
      </c>
      <c r="D36" s="7" t="s">
        <v>9</v>
      </c>
      <c r="E36" s="7" t="s">
        <v>9</v>
      </c>
      <c r="F36" s="7" t="s">
        <v>52</v>
      </c>
    </row>
    <row r="37" spans="1:16" ht="18" x14ac:dyDescent="0.35">
      <c r="B37" s="7" t="s">
        <v>1</v>
      </c>
      <c r="C37" s="7" t="s">
        <v>47</v>
      </c>
      <c r="D37" s="8" t="s">
        <v>45</v>
      </c>
      <c r="E37" s="8" t="s">
        <v>46</v>
      </c>
      <c r="F37" s="7" t="s">
        <v>17</v>
      </c>
      <c r="N37" s="8" t="s">
        <v>67</v>
      </c>
      <c r="O37" s="8" t="s">
        <v>68</v>
      </c>
      <c r="P37" s="8" t="s">
        <v>69</v>
      </c>
    </row>
    <row r="38" spans="1:16" x14ac:dyDescent="0.25">
      <c r="B38" s="4">
        <v>0</v>
      </c>
      <c r="C38" s="11">
        <f t="shared" ref="C38:C43" si="1">$C$17-$C$18*B38</f>
        <v>16467.111111111109</v>
      </c>
      <c r="D38" s="11">
        <f>$C$19-$C$20*B38</f>
        <v>-7057.333333333333</v>
      </c>
      <c r="E38" s="11">
        <f>$C$21-$C$20*B38</f>
        <v>-7677.9999999999964</v>
      </c>
      <c r="F38" s="4">
        <f>B38*C38</f>
        <v>0</v>
      </c>
      <c r="I38" s="29" t="s">
        <v>66</v>
      </c>
      <c r="J38" s="30"/>
      <c r="K38" s="30"/>
      <c r="L38" s="31"/>
      <c r="N38" s="25"/>
      <c r="O38" s="25"/>
    </row>
    <row r="39" spans="1:16" x14ac:dyDescent="0.25">
      <c r="B39" s="4">
        <f>C24</f>
        <v>37170000000</v>
      </c>
      <c r="C39" s="11">
        <f t="shared" si="1"/>
        <v>2352.4444444444434</v>
      </c>
      <c r="D39" s="11">
        <f>$C$19-$C$20*B39</f>
        <v>0</v>
      </c>
      <c r="E39" s="11">
        <f>$C$21-$C$20*B39</f>
        <v>-620.66666666666333</v>
      </c>
      <c r="F39" s="4">
        <f t="shared" ref="F39:F43" si="2">B39*C39</f>
        <v>87440359999999.969</v>
      </c>
      <c r="I39" s="16"/>
      <c r="J39" s="17" t="s">
        <v>30</v>
      </c>
      <c r="K39" s="17" t="s">
        <v>32</v>
      </c>
      <c r="L39" s="17" t="s">
        <v>51</v>
      </c>
      <c r="N39" s="25">
        <f t="shared" ref="N39:N43" si="3">1-$C$17/($C$18*B39)</f>
        <v>-0.16666666666666652</v>
      </c>
      <c r="O39" s="25">
        <f t="shared" ref="O39:O43" si="4">1-$C$19/($C$20*B39)</f>
        <v>0</v>
      </c>
      <c r="P39" s="25">
        <f>1-$C$21/($C$20*B39)</f>
        <v>-8.7946344228225559E-2</v>
      </c>
    </row>
    <row r="40" spans="1:16" x14ac:dyDescent="0.25">
      <c r="A40">
        <v>0</v>
      </c>
      <c r="B40" s="4">
        <v>40000000000</v>
      </c>
      <c r="C40" s="11">
        <f t="shared" si="1"/>
        <v>1277.8007353600569</v>
      </c>
      <c r="D40" s="11">
        <f t="shared" ref="D40:D43" si="5">$C$19-$C$20*B40</f>
        <v>537.32185454219325</v>
      </c>
      <c r="E40" s="11">
        <f t="shared" ref="E40:E43" si="6">$C$21-$C$20*B40</f>
        <v>-83.344812124470081</v>
      </c>
      <c r="F40" s="4">
        <f t="shared" si="2"/>
        <v>51112029414402.273</v>
      </c>
      <c r="I40" s="16" t="s">
        <v>48</v>
      </c>
      <c r="J40" s="18">
        <f>(C17-C14)*C13/2/1000000000000</f>
        <v>323.85318518518517</v>
      </c>
      <c r="K40" s="18">
        <f>(C17-C15)*C16/2/1000000000000</f>
        <v>341.16764496203928</v>
      </c>
      <c r="L40" s="21">
        <f>K40/J40-1</f>
        <v>5.3463916888615293E-2</v>
      </c>
      <c r="N40" s="25">
        <f t="shared" si="3"/>
        <v>-8.4125000000000005E-2</v>
      </c>
      <c r="O40" s="25">
        <f t="shared" si="4"/>
        <v>7.074999999999998E-2</v>
      </c>
      <c r="P40" s="25">
        <f t="shared" ref="P40:P43" si="7">1-$C$21/($C$20*B40)</f>
        <v>-1.0974140374078623E-2</v>
      </c>
    </row>
    <row r="41" spans="1:16" x14ac:dyDescent="0.25">
      <c r="B41" s="22">
        <f>C29</f>
        <v>41300000000</v>
      </c>
      <c r="C41" s="23">
        <f t="shared" si="1"/>
        <v>784.14814814814781</v>
      </c>
      <c r="D41" s="23">
        <f t="shared" si="5"/>
        <v>784.14814814814781</v>
      </c>
      <c r="E41" s="23">
        <f t="shared" si="6"/>
        <v>163.48148148148448</v>
      </c>
      <c r="F41" s="22">
        <f t="shared" si="2"/>
        <v>32385318518518.504</v>
      </c>
      <c r="G41" s="24" t="s">
        <v>20</v>
      </c>
      <c r="I41" s="16" t="s">
        <v>49</v>
      </c>
      <c r="J41" s="18">
        <f>(C13+C19/C20)*C14/2/1000000000000</f>
        <v>30.766052592592594</v>
      </c>
      <c r="K41" s="18">
        <f>(C16+C21/C20)*C15/2/1000000000000</f>
        <v>15.338633485176084</v>
      </c>
      <c r="L41" s="21">
        <f t="shared" ref="L41:L42" si="8">K41/J41-1</f>
        <v>-0.50144291540120756</v>
      </c>
      <c r="N41" s="26">
        <f t="shared" si="3"/>
        <v>-5.0000000000000044E-2</v>
      </c>
      <c r="O41" s="26">
        <f t="shared" si="4"/>
        <v>9.9999999999999978E-2</v>
      </c>
      <c r="P41" s="25">
        <f t="shared" si="7"/>
        <v>2.0848290194596997E-2</v>
      </c>
    </row>
    <row r="42" spans="1:16" x14ac:dyDescent="0.25">
      <c r="B42" s="22">
        <f>C16</f>
        <v>42389655204.987717</v>
      </c>
      <c r="C42" s="23">
        <f t="shared" si="1"/>
        <v>370.37037037037044</v>
      </c>
      <c r="D42" s="23">
        <f t="shared" si="5"/>
        <v>991.0370370370365</v>
      </c>
      <c r="E42" s="23">
        <f t="shared" si="6"/>
        <v>370.37037037037317</v>
      </c>
      <c r="F42" s="22">
        <f t="shared" si="2"/>
        <v>15699872298143.602</v>
      </c>
      <c r="G42" s="24" t="s">
        <v>19</v>
      </c>
      <c r="I42" s="16" t="s">
        <v>50</v>
      </c>
      <c r="J42" s="18">
        <f>SUM(J40:J41)</f>
        <v>354.61923777777776</v>
      </c>
      <c r="K42" s="18">
        <f>SUM(K40:K41)</f>
        <v>356.50627844721538</v>
      </c>
      <c r="L42" s="21">
        <f t="shared" si="8"/>
        <v>5.321315000457405E-3</v>
      </c>
      <c r="N42" s="25">
        <f t="shared" si="3"/>
        <v>-2.3009028742878801E-2</v>
      </c>
      <c r="O42" s="25">
        <f t="shared" si="4"/>
        <v>0.12313511822038958</v>
      </c>
      <c r="P42" s="27">
        <f t="shared" si="7"/>
        <v>4.6018057485757713E-2</v>
      </c>
    </row>
    <row r="43" spans="1:16" x14ac:dyDescent="0.25">
      <c r="A43">
        <v>5</v>
      </c>
      <c r="B43" s="4">
        <f>C23</f>
        <v>43365000000</v>
      </c>
      <c r="C43" s="11">
        <f t="shared" si="1"/>
        <v>0</v>
      </c>
      <c r="D43" s="11">
        <f t="shared" si="5"/>
        <v>1176.2222222222217</v>
      </c>
      <c r="E43" s="11">
        <f t="shared" si="6"/>
        <v>555.55555555555839</v>
      </c>
      <c r="F43" s="4">
        <f t="shared" si="2"/>
        <v>0</v>
      </c>
      <c r="N43" s="25">
        <f t="shared" si="3"/>
        <v>0</v>
      </c>
      <c r="O43" s="25">
        <f t="shared" si="4"/>
        <v>0.14285714285714279</v>
      </c>
      <c r="P43" s="25">
        <f t="shared" si="7"/>
        <v>6.7474562090092394E-2</v>
      </c>
    </row>
    <row r="44" spans="1:16" x14ac:dyDescent="0.25">
      <c r="I44" t="s">
        <v>64</v>
      </c>
    </row>
    <row r="45" spans="1:16" x14ac:dyDescent="0.25">
      <c r="B45" s="4"/>
      <c r="C45" s="3"/>
    </row>
    <row r="46" spans="1:16" x14ac:dyDescent="0.25">
      <c r="B46" t="s">
        <v>58</v>
      </c>
      <c r="C46" s="15">
        <f>F42/F41-1</f>
        <v>-0.51521636913448499</v>
      </c>
      <c r="D46" t="s">
        <v>59</v>
      </c>
      <c r="F46" s="11"/>
    </row>
    <row r="47" spans="1:16" x14ac:dyDescent="0.25">
      <c r="B47" s="4"/>
      <c r="C47" s="3"/>
    </row>
    <row r="48" spans="1:16" x14ac:dyDescent="0.25">
      <c r="B48" s="4"/>
      <c r="C48" s="3"/>
    </row>
    <row r="49" spans="2:8" x14ac:dyDescent="0.25">
      <c r="B49" s="4"/>
      <c r="C49" s="3"/>
    </row>
    <row r="60" spans="2:8" x14ac:dyDescent="0.25">
      <c r="H60" t="s">
        <v>57</v>
      </c>
    </row>
  </sheetData>
  <mergeCells count="1">
    <mergeCell ref="I38:L3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8"/>
  <sheetViews>
    <sheetView workbookViewId="0">
      <selection activeCell="F2" sqref="F2"/>
    </sheetView>
  </sheetViews>
  <sheetFormatPr defaultRowHeight="15" x14ac:dyDescent="0.25"/>
  <cols>
    <col min="2" max="2" width="15.7109375" customWidth="1"/>
    <col min="3" max="3" width="9.5703125" bestFit="1" customWidth="1"/>
    <col min="4" max="4" width="10.28515625" customWidth="1"/>
    <col min="5" max="5" width="13.85546875" customWidth="1"/>
    <col min="6" max="6" width="15.28515625" bestFit="1" customWidth="1"/>
    <col min="7" max="7" width="11" bestFit="1" customWidth="1"/>
    <col min="8" max="8" width="12.7109375" bestFit="1" customWidth="1"/>
    <col min="9" max="9" width="19.85546875" bestFit="1" customWidth="1"/>
    <col min="10" max="10" width="11" bestFit="1" customWidth="1"/>
    <col min="11" max="11" width="8.5703125" bestFit="1" customWidth="1"/>
    <col min="12" max="12" width="10.5703125" bestFit="1" customWidth="1"/>
    <col min="13" max="13" width="9.5703125" bestFit="1" customWidth="1"/>
  </cols>
  <sheetData>
    <row r="3" spans="2:13" ht="18.75" x14ac:dyDescent="0.3">
      <c r="B3" s="9" t="s">
        <v>60</v>
      </c>
      <c r="I3" s="12" t="s">
        <v>62</v>
      </c>
    </row>
    <row r="5" spans="2:13" x14ac:dyDescent="0.25">
      <c r="B5" s="6" t="s">
        <v>0</v>
      </c>
    </row>
    <row r="6" spans="2:13" x14ac:dyDescent="0.25">
      <c r="B6" t="s">
        <v>1</v>
      </c>
      <c r="C6" s="2">
        <v>41300000000</v>
      </c>
      <c r="D6" t="s">
        <v>3</v>
      </c>
      <c r="E6" t="s">
        <v>53</v>
      </c>
    </row>
    <row r="7" spans="2:13" x14ac:dyDescent="0.25">
      <c r="B7" t="s">
        <v>30</v>
      </c>
      <c r="C7" s="1">
        <v>105.86</v>
      </c>
      <c r="D7" t="s">
        <v>4</v>
      </c>
      <c r="E7" t="s">
        <v>55</v>
      </c>
      <c r="J7" t="s">
        <v>5</v>
      </c>
      <c r="K7" s="1">
        <f>156</f>
        <v>156</v>
      </c>
      <c r="L7" t="s">
        <v>56</v>
      </c>
      <c r="M7" t="s">
        <v>7</v>
      </c>
    </row>
    <row r="8" spans="2:13" ht="18" x14ac:dyDescent="0.35">
      <c r="B8" s="5" t="s">
        <v>28</v>
      </c>
      <c r="C8" s="1">
        <v>-0.4</v>
      </c>
      <c r="D8" t="s">
        <v>54</v>
      </c>
      <c r="E8" t="s">
        <v>10</v>
      </c>
      <c r="J8" t="s">
        <v>63</v>
      </c>
      <c r="K8" s="1">
        <v>135</v>
      </c>
      <c r="L8" t="s">
        <v>6</v>
      </c>
      <c r="M8" t="s">
        <v>8</v>
      </c>
    </row>
    <row r="9" spans="2:13" ht="18" x14ac:dyDescent="0.35">
      <c r="B9" s="5" t="s">
        <v>29</v>
      </c>
      <c r="C9" s="1">
        <v>0.4</v>
      </c>
      <c r="D9" t="s">
        <v>54</v>
      </c>
      <c r="E9" t="s">
        <v>21</v>
      </c>
    </row>
    <row r="10" spans="2:13" x14ac:dyDescent="0.25">
      <c r="B10" s="5" t="s">
        <v>32</v>
      </c>
      <c r="C10" s="1">
        <v>50</v>
      </c>
      <c r="D10" t="s">
        <v>4</v>
      </c>
      <c r="E10" s="10" t="s">
        <v>18</v>
      </c>
    </row>
    <row r="11" spans="2:13" x14ac:dyDescent="0.25">
      <c r="B11" s="5"/>
    </row>
    <row r="12" spans="2:13" x14ac:dyDescent="0.25">
      <c r="B12" s="14" t="s">
        <v>11</v>
      </c>
    </row>
    <row r="13" spans="2:13" x14ac:dyDescent="0.25">
      <c r="B13" s="5" t="s">
        <v>31</v>
      </c>
      <c r="C13" s="4">
        <f>C6</f>
        <v>41300000000</v>
      </c>
      <c r="D13" t="s">
        <v>3</v>
      </c>
    </row>
    <row r="14" spans="2:13" x14ac:dyDescent="0.25">
      <c r="B14" s="5" t="s">
        <v>30</v>
      </c>
      <c r="C14" s="11">
        <f>C7/K8*1000</f>
        <v>784.14814814814815</v>
      </c>
      <c r="D14" t="s">
        <v>9</v>
      </c>
    </row>
    <row r="15" spans="2:13" x14ac:dyDescent="0.25">
      <c r="B15" s="5" t="s">
        <v>32</v>
      </c>
      <c r="C15" s="11">
        <f>C10/K8*1000</f>
        <v>370.37037037037032</v>
      </c>
      <c r="D15" t="s">
        <v>9</v>
      </c>
    </row>
    <row r="16" spans="2:13" x14ac:dyDescent="0.25">
      <c r="B16" s="5" t="s">
        <v>34</v>
      </c>
      <c r="C16" s="4">
        <f>(C17-C15)/C18</f>
        <v>50017241639.901764</v>
      </c>
      <c r="D16" t="s">
        <v>3</v>
      </c>
    </row>
    <row r="17" spans="2:8" x14ac:dyDescent="0.25">
      <c r="B17" s="5" t="s">
        <v>12</v>
      </c>
      <c r="C17" s="11">
        <f>(1-1/C8)*C14</f>
        <v>2744.5185185185187</v>
      </c>
      <c r="D17" s="13" t="s">
        <v>9</v>
      </c>
      <c r="E17" t="s">
        <v>35</v>
      </c>
    </row>
    <row r="18" spans="2:8" x14ac:dyDescent="0.25">
      <c r="B18" s="5" t="s">
        <v>13</v>
      </c>
      <c r="C18" s="4">
        <f>-C14/(C8*C13)</f>
        <v>4.7466594924222041E-8</v>
      </c>
      <c r="D18" t="s">
        <v>14</v>
      </c>
    </row>
    <row r="19" spans="2:8" x14ac:dyDescent="0.25">
      <c r="B19" s="5" t="s">
        <v>25</v>
      </c>
      <c r="C19">
        <f>(1-1/C9)*C14</f>
        <v>-1176.2222222222222</v>
      </c>
      <c r="D19" s="13" t="s">
        <v>9</v>
      </c>
      <c r="E19" t="s">
        <v>36</v>
      </c>
    </row>
    <row r="20" spans="2:8" x14ac:dyDescent="0.25">
      <c r="B20" s="5" t="s">
        <v>24</v>
      </c>
      <c r="C20" s="4">
        <f>-C14/(C9*C13)</f>
        <v>-4.7466594924222041E-8</v>
      </c>
      <c r="D20" t="s">
        <v>14</v>
      </c>
    </row>
    <row r="21" spans="2:8" x14ac:dyDescent="0.25">
      <c r="B21" s="5" t="s">
        <v>33</v>
      </c>
      <c r="C21" s="4">
        <f>C17+(C20-C18)*C16</f>
        <v>-2003.7777777777778</v>
      </c>
      <c r="D21" s="13" t="s">
        <v>9</v>
      </c>
      <c r="E21" t="s">
        <v>37</v>
      </c>
    </row>
    <row r="22" spans="2:8" x14ac:dyDescent="0.25">
      <c r="B22" s="5" t="s">
        <v>39</v>
      </c>
    </row>
    <row r="23" spans="2:8" x14ac:dyDescent="0.25">
      <c r="B23" s="5" t="s">
        <v>40</v>
      </c>
      <c r="C23" s="4">
        <f>C17/C18</f>
        <v>57820000000.000008</v>
      </c>
      <c r="E23" t="s">
        <v>38</v>
      </c>
    </row>
    <row r="24" spans="2:8" x14ac:dyDescent="0.25">
      <c r="B24" s="5" t="s">
        <v>42</v>
      </c>
      <c r="C24" s="4">
        <f>C19/C20</f>
        <v>24780000000</v>
      </c>
      <c r="E24" t="s">
        <v>43</v>
      </c>
    </row>
    <row r="25" spans="2:8" x14ac:dyDescent="0.25">
      <c r="B25" s="5" t="s">
        <v>41</v>
      </c>
      <c r="C25" s="4">
        <f>C21/C20</f>
        <v>42214483279.80352</v>
      </c>
      <c r="E25" t="s">
        <v>44</v>
      </c>
    </row>
    <row r="26" spans="2:8" x14ac:dyDescent="0.25">
      <c r="B26" s="5"/>
    </row>
    <row r="27" spans="2:8" x14ac:dyDescent="0.25">
      <c r="B27" s="5"/>
    </row>
    <row r="28" spans="2:8" x14ac:dyDescent="0.25">
      <c r="B28" s="6" t="s">
        <v>22</v>
      </c>
      <c r="E28" s="6" t="s">
        <v>23</v>
      </c>
      <c r="F28" s="7" t="s">
        <v>26</v>
      </c>
      <c r="G28" s="7"/>
      <c r="H28" s="7" t="s">
        <v>27</v>
      </c>
    </row>
    <row r="29" spans="2:8" x14ac:dyDescent="0.25">
      <c r="B29" t="s">
        <v>1</v>
      </c>
      <c r="C29" s="4">
        <f>C6</f>
        <v>41300000000</v>
      </c>
      <c r="D29" t="s">
        <v>3</v>
      </c>
      <c r="E29" t="str">
        <f t="shared" ref="E29:G30" si="0">B29</f>
        <v>q</v>
      </c>
      <c r="F29" s="4">
        <f t="shared" si="0"/>
        <v>41300000000</v>
      </c>
      <c r="G29" t="str">
        <f t="shared" si="0"/>
        <v>t</v>
      </c>
      <c r="H29" s="4">
        <f>B41</f>
        <v>50017241639.901764</v>
      </c>
    </row>
    <row r="30" spans="2:8" x14ac:dyDescent="0.25">
      <c r="B30" t="s">
        <v>2</v>
      </c>
      <c r="E30" t="str">
        <f t="shared" si="0"/>
        <v>p</v>
      </c>
      <c r="F30" s="11">
        <f>C14</f>
        <v>784.14814814814815</v>
      </c>
      <c r="G30" t="str">
        <f>D14</f>
        <v>USD/t</v>
      </c>
      <c r="H30" s="4">
        <f>C41</f>
        <v>370.37037037037044</v>
      </c>
    </row>
    <row r="31" spans="2:8" x14ac:dyDescent="0.25">
      <c r="B31" t="s">
        <v>12</v>
      </c>
      <c r="E31" t="s">
        <v>25</v>
      </c>
      <c r="F31" s="11">
        <f>(1-1/C9)*F30</f>
        <v>-1176.2222222222222</v>
      </c>
      <c r="G31" t="s">
        <v>9</v>
      </c>
      <c r="H31" s="11">
        <v>-2003.7777777777769</v>
      </c>
    </row>
    <row r="32" spans="2:8" x14ac:dyDescent="0.25">
      <c r="B32" t="s">
        <v>13</v>
      </c>
      <c r="E32" t="s">
        <v>24</v>
      </c>
      <c r="F32" s="4">
        <f>-F30/(C9*F29)</f>
        <v>-4.7466594924222041E-8</v>
      </c>
      <c r="G32" t="s">
        <v>14</v>
      </c>
      <c r="H32" s="4">
        <f>F32</f>
        <v>-4.7466594924222041E-8</v>
      </c>
    </row>
    <row r="33" spans="1:12" x14ac:dyDescent="0.25">
      <c r="B33" t="s">
        <v>15</v>
      </c>
      <c r="C33" s="3">
        <f>(1-1/C9)*C14</f>
        <v>-1176.2222222222222</v>
      </c>
      <c r="F33" t="s">
        <v>15</v>
      </c>
      <c r="G33" s="10">
        <v>-3.0921181806004006E-8</v>
      </c>
    </row>
    <row r="34" spans="1:12" x14ac:dyDescent="0.25">
      <c r="B34" t="s">
        <v>16</v>
      </c>
      <c r="C34" s="4">
        <f>C17/C18</f>
        <v>57820000000.000008</v>
      </c>
      <c r="F34" t="s">
        <v>16</v>
      </c>
      <c r="G34" s="4">
        <f>F31/F32</f>
        <v>24780000000</v>
      </c>
    </row>
    <row r="35" spans="1:12" x14ac:dyDescent="0.25">
      <c r="C35" s="4"/>
      <c r="G35" s="4"/>
    </row>
    <row r="36" spans="1:12" x14ac:dyDescent="0.25">
      <c r="B36" s="7" t="s">
        <v>3</v>
      </c>
      <c r="C36" s="7" t="s">
        <v>9</v>
      </c>
      <c r="D36" s="7" t="s">
        <v>9</v>
      </c>
      <c r="E36" s="7" t="s">
        <v>9</v>
      </c>
      <c r="F36" s="7" t="s">
        <v>52</v>
      </c>
    </row>
    <row r="37" spans="1:12" x14ac:dyDescent="0.25">
      <c r="B37" s="7" t="s">
        <v>1</v>
      </c>
      <c r="C37" s="7" t="s">
        <v>47</v>
      </c>
      <c r="D37" s="8" t="s">
        <v>45</v>
      </c>
      <c r="E37" s="8" t="s">
        <v>46</v>
      </c>
      <c r="F37" s="7" t="s">
        <v>17</v>
      </c>
    </row>
    <row r="38" spans="1:12" x14ac:dyDescent="0.25">
      <c r="B38" s="4">
        <v>0</v>
      </c>
      <c r="C38" s="11">
        <f t="shared" ref="C38:C42" si="1">$C$17-$C$18*B38</f>
        <v>2744.5185185185187</v>
      </c>
      <c r="D38" s="11">
        <f>$C$19-$C$20*B38</f>
        <v>-1176.2222222222222</v>
      </c>
      <c r="E38" s="11">
        <f>$C$21-$C$20*B38</f>
        <v>-2003.7777777777778</v>
      </c>
      <c r="F38" s="4">
        <f>B38*C38</f>
        <v>0</v>
      </c>
      <c r="I38" s="29" t="s">
        <v>65</v>
      </c>
      <c r="J38" s="30"/>
      <c r="K38" s="30"/>
      <c r="L38" s="31"/>
    </row>
    <row r="39" spans="1:12" x14ac:dyDescent="0.25">
      <c r="B39" s="4">
        <f>C24</f>
        <v>24780000000</v>
      </c>
      <c r="C39" s="11">
        <f t="shared" si="1"/>
        <v>1568.2962962962965</v>
      </c>
      <c r="D39" s="11">
        <f>$C$19-$C$20*B39</f>
        <v>0</v>
      </c>
      <c r="E39" s="11">
        <f>$C$21-$C$20*B39</f>
        <v>-827.55555555555566</v>
      </c>
      <c r="F39" s="4">
        <f t="shared" ref="F39:F42" si="2">B39*C39</f>
        <v>38862382222222.227</v>
      </c>
      <c r="I39" s="16"/>
      <c r="J39" s="17" t="s">
        <v>30</v>
      </c>
      <c r="K39" s="17" t="s">
        <v>32</v>
      </c>
      <c r="L39" s="17" t="s">
        <v>51</v>
      </c>
    </row>
    <row r="40" spans="1:12" x14ac:dyDescent="0.25">
      <c r="B40" s="22">
        <f>C13</f>
        <v>41300000000</v>
      </c>
      <c r="C40" s="23">
        <f t="shared" si="1"/>
        <v>784.14814814814849</v>
      </c>
      <c r="D40" s="23">
        <f t="shared" ref="D40:D42" si="3">$C$19-$C$20*B40</f>
        <v>784.14814814814804</v>
      </c>
      <c r="E40" s="23">
        <f t="shared" ref="E40:E42" si="4">$C$21-$C$20*B40</f>
        <v>-43.407407407407618</v>
      </c>
      <c r="F40" s="22">
        <f t="shared" si="2"/>
        <v>32385318518518.531</v>
      </c>
      <c r="G40" s="24" t="s">
        <v>20</v>
      </c>
      <c r="I40" s="16" t="s">
        <v>48</v>
      </c>
      <c r="J40" s="18">
        <f>(C17-C14)*C13/2/1000000000000</f>
        <v>40.481648148148146</v>
      </c>
      <c r="K40" s="18">
        <f>(C17-C15)*C16/2/1000000000000</f>
        <v>59.374170807425607</v>
      </c>
      <c r="L40" s="19">
        <f>K40/J40-1</f>
        <v>0.46669351480299626</v>
      </c>
    </row>
    <row r="41" spans="1:12" x14ac:dyDescent="0.25">
      <c r="B41" s="22">
        <f>C16</f>
        <v>50017241639.901764</v>
      </c>
      <c r="C41" s="23">
        <f t="shared" si="1"/>
        <v>370.37037037037044</v>
      </c>
      <c r="D41" s="23">
        <f t="shared" si="3"/>
        <v>1197.9259259259261</v>
      </c>
      <c r="E41" s="23">
        <f t="shared" si="4"/>
        <v>370.37037037037044</v>
      </c>
      <c r="F41" s="22">
        <f t="shared" si="2"/>
        <v>18524904311074.73</v>
      </c>
      <c r="G41" s="24" t="s">
        <v>19</v>
      </c>
      <c r="I41" s="16" t="s">
        <v>49</v>
      </c>
      <c r="J41" s="18">
        <f>(C13+C19/C20)*C14/2/1000000000000</f>
        <v>25.908254814814818</v>
      </c>
      <c r="K41" s="18">
        <f>(C16+C21/C20)*C15/2/1000000000000</f>
        <v>17.079949059204683</v>
      </c>
      <c r="L41" s="19">
        <f t="shared" ref="L41:L42" si="5">K41/J41-1</f>
        <v>-0.3407526218462984</v>
      </c>
    </row>
    <row r="42" spans="1:12" x14ac:dyDescent="0.25">
      <c r="A42">
        <v>5</v>
      </c>
      <c r="B42" s="4">
        <f>C23</f>
        <v>57820000000.000008</v>
      </c>
      <c r="C42" s="11">
        <f t="shared" si="1"/>
        <v>0</v>
      </c>
      <c r="D42" s="11">
        <f t="shared" si="3"/>
        <v>1568.2962962962965</v>
      </c>
      <c r="E42" s="11">
        <f t="shared" si="4"/>
        <v>740.74074074074088</v>
      </c>
      <c r="F42" s="4">
        <f t="shared" si="2"/>
        <v>0</v>
      </c>
      <c r="I42" s="16" t="s">
        <v>50</v>
      </c>
      <c r="J42" s="18">
        <f>SUM(J40:J41)</f>
        <v>66.389902962962964</v>
      </c>
      <c r="K42" s="18">
        <f>SUM(K40:K41)</f>
        <v>76.454119866630293</v>
      </c>
      <c r="L42" s="19">
        <f t="shared" si="5"/>
        <v>0.15159258342766169</v>
      </c>
    </row>
    <row r="44" spans="1:12" x14ac:dyDescent="0.25">
      <c r="B44" s="4"/>
      <c r="C44" s="3"/>
      <c r="I44" t="s">
        <v>64</v>
      </c>
    </row>
    <row r="45" spans="1:12" x14ac:dyDescent="0.25">
      <c r="B45" t="s">
        <v>58</v>
      </c>
      <c r="C45" s="15">
        <f>F41/F40-1</f>
        <v>-0.42798449549039197</v>
      </c>
      <c r="D45" t="s">
        <v>59</v>
      </c>
    </row>
    <row r="46" spans="1:12" x14ac:dyDescent="0.25">
      <c r="B46" s="4"/>
      <c r="C46" s="3"/>
      <c r="D46" s="11"/>
    </row>
    <row r="47" spans="1:12" x14ac:dyDescent="0.25">
      <c r="B47" s="4"/>
      <c r="C47" s="3"/>
    </row>
    <row r="48" spans="1:12" x14ac:dyDescent="0.25">
      <c r="B48" s="4"/>
      <c r="C48" s="3"/>
    </row>
  </sheetData>
  <mergeCells count="1">
    <mergeCell ref="I38:L3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COVER</vt:lpstr>
      <vt:lpstr> breve periodo</vt:lpstr>
      <vt:lpstr>lungo periodo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2015-02-04T13:20:50Z</dcterms:created>
  <dcterms:modified xsi:type="dcterms:W3CDTF">2015-03-17T13:48:07Z</dcterms:modified>
</cp:coreProperties>
</file>